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codeName="ThisWorkbook" defaultThemeVersion="124226"/>
  <mc:AlternateContent xmlns:mc="http://schemas.openxmlformats.org/markup-compatibility/2006">
    <mc:Choice Requires="x15">
      <x15ac:absPath xmlns:x15ac="http://schemas.microsoft.com/office/spreadsheetml/2010/11/ac" url="N:\Proposal Services\3. Forms and Templates\Budget Templates\"/>
    </mc:Choice>
  </mc:AlternateContent>
  <xr:revisionPtr revIDLastSave="4" documentId="13_ncr:1_{8C811669-963E-4D63-9221-4B4B50C258E5}" xr6:coauthVersionLast="47" xr6:coauthVersionMax="47" xr10:uidLastSave="{6F8F8B17-4F30-422C-84DA-4E24566B8540}"/>
  <workbookProtection workbookAlgorithmName="SHA-512" workbookHashValue="j4+6rxP+bn9sU1bSbrJHrK0Qr6AKyM7i2LnGzq6T4A7JV8Ocn656GXXFqmehHTOKXe4CYQzAv0iEOUwJwJRsOw==" workbookSaltValue="ek+dNATgjJjKAlVMCgWNIg==" workbookSpinCount="100000" lockStructure="1"/>
  <bookViews>
    <workbookView xWindow="0" yWindow="0" windowWidth="21570" windowHeight="9030" tabRatio="821" firstSheet="2" activeTab="2" xr2:uid="{00000000-000D-0000-FFFF-FFFF00000000}"/>
  </bookViews>
  <sheets>
    <sheet name="Instructions" sheetId="7" r:id="rId1"/>
    <sheet name="Toolbox" sheetId="31" r:id="rId2"/>
    <sheet name="Sponsor" sheetId="27" r:id="rId3"/>
    <sheet name="Cost Share Sources" sheetId="35" r:id="rId4"/>
    <sheet name="UMYr1" sheetId="4" r:id="rId5"/>
    <sheet name="UMYr2" sheetId="18" r:id="rId6"/>
    <sheet name="UMYr3" sheetId="19" r:id="rId7"/>
    <sheet name="UMYr4" sheetId="20" r:id="rId8"/>
    <sheet name="UMYr5" sheetId="21" r:id="rId9"/>
    <sheet name="Cumulative" sheetId="25" r:id="rId10"/>
  </sheets>
  <definedNames>
    <definedName name="_xlnm.Print_Area" localSheetId="9">Cumulative!$A$1:$N$183</definedName>
    <definedName name="_xlnm.Print_Area" localSheetId="0">Instructions!$A$1:$A$42</definedName>
    <definedName name="_xlnm.Print_Area" localSheetId="2">Sponsor!$A$1:$I$188</definedName>
    <definedName name="_xlnm.Print_Area" localSheetId="4">UMYr1!$A$1:$N$184</definedName>
    <definedName name="_xlnm.Print_Area" localSheetId="5">UMYr2!$A$1:$N$183</definedName>
    <definedName name="_xlnm.Print_Area" localSheetId="6">UMYr3!$A$1:$N$183</definedName>
    <definedName name="_xlnm.Print_Area" localSheetId="7">UMYr4!$A$1:$N$183</definedName>
    <definedName name="_xlnm.Print_Area" localSheetId="8">UMYr5!$A$1:$N$183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27" l="1"/>
  <c r="U91" i="27" l="1"/>
  <c r="T91" i="27"/>
  <c r="S91" i="27"/>
  <c r="R91" i="27"/>
  <c r="D67" i="18"/>
  <c r="E67" i="18" s="1"/>
  <c r="D66" i="18"/>
  <c r="E66" i="18" s="1"/>
  <c r="D66" i="4"/>
  <c r="D67" i="4"/>
  <c r="H67" i="4" s="1"/>
  <c r="D67" i="25"/>
  <c r="H67" i="25" s="1"/>
  <c r="D66" i="25"/>
  <c r="G66" i="25" s="1"/>
  <c r="L81" i="18"/>
  <c r="K4" i="21"/>
  <c r="K4" i="20"/>
  <c r="K4" i="19"/>
  <c r="K4" i="18"/>
  <c r="K4" i="4"/>
  <c r="D68" i="18"/>
  <c r="G68" i="18" s="1"/>
  <c r="K2" i="4"/>
  <c r="I6" i="4"/>
  <c r="H6" i="4"/>
  <c r="G6" i="4"/>
  <c r="F6" i="4"/>
  <c r="E6" i="4"/>
  <c r="A4" i="4"/>
  <c r="K4" i="25"/>
  <c r="K3" i="25"/>
  <c r="K2" i="25"/>
  <c r="K2" i="21"/>
  <c r="H2" i="25"/>
  <c r="F4" i="25"/>
  <c r="D4" i="25"/>
  <c r="D3" i="25"/>
  <c r="D2" i="25"/>
  <c r="D2" i="21"/>
  <c r="A4" i="25"/>
  <c r="A4" i="21"/>
  <c r="K3" i="4"/>
  <c r="K3" i="21"/>
  <c r="K3" i="20"/>
  <c r="K3" i="19"/>
  <c r="K2" i="20"/>
  <c r="K2" i="19"/>
  <c r="K2" i="18"/>
  <c r="F4" i="21"/>
  <c r="F4" i="20"/>
  <c r="F4" i="19"/>
  <c r="F4" i="18"/>
  <c r="F4" i="4"/>
  <c r="D4" i="4"/>
  <c r="D4" i="21"/>
  <c r="D4" i="20"/>
  <c r="D4" i="19"/>
  <c r="D4" i="18"/>
  <c r="D3" i="21"/>
  <c r="D3" i="20"/>
  <c r="D3" i="19"/>
  <c r="D3" i="18"/>
  <c r="D3" i="4"/>
  <c r="D2" i="20"/>
  <c r="D2" i="19"/>
  <c r="D2" i="18"/>
  <c r="D2" i="4"/>
  <c r="H2" i="21"/>
  <c r="H2" i="20"/>
  <c r="H2" i="19"/>
  <c r="K3" i="18"/>
  <c r="A4" i="20"/>
  <c r="A4" i="19"/>
  <c r="A4" i="18"/>
  <c r="D66" i="19"/>
  <c r="D71" i="27"/>
  <c r="Q91" i="27"/>
  <c r="C22" i="4"/>
  <c r="C22" i="25" s="1"/>
  <c r="C21" i="4"/>
  <c r="C21" i="19" s="1"/>
  <c r="C20" i="4"/>
  <c r="C20" i="21" s="1"/>
  <c r="C19" i="4"/>
  <c r="C19" i="25" s="1"/>
  <c r="C18" i="4"/>
  <c r="C17" i="4"/>
  <c r="C17" i="25"/>
  <c r="C16" i="4"/>
  <c r="C16" i="25" s="1"/>
  <c r="C15" i="4"/>
  <c r="I60" i="27"/>
  <c r="U74" i="27"/>
  <c r="T74" i="27"/>
  <c r="S74" i="27"/>
  <c r="R74" i="27"/>
  <c r="U73" i="27"/>
  <c r="T73" i="27"/>
  <c r="S73" i="27"/>
  <c r="R73" i="27"/>
  <c r="U72" i="27"/>
  <c r="T72" i="27"/>
  <c r="S72" i="27"/>
  <c r="R72" i="27"/>
  <c r="U71" i="27"/>
  <c r="T71" i="27"/>
  <c r="S71" i="27"/>
  <c r="R71" i="27"/>
  <c r="Q90" i="27"/>
  <c r="Q89" i="27"/>
  <c r="Q88" i="27"/>
  <c r="Q87" i="27"/>
  <c r="Q86" i="27"/>
  <c r="Q85" i="27"/>
  <c r="Q84" i="27"/>
  <c r="Q83" i="27"/>
  <c r="Q82" i="27"/>
  <c r="Q81" i="27"/>
  <c r="Q80" i="27"/>
  <c r="Q79" i="27"/>
  <c r="Q78" i="27"/>
  <c r="Q77" i="27"/>
  <c r="Q76" i="27"/>
  <c r="U90" i="27"/>
  <c r="T90" i="27"/>
  <c r="S90" i="27"/>
  <c r="R90" i="27"/>
  <c r="U89" i="27"/>
  <c r="T89" i="27"/>
  <c r="S89" i="27"/>
  <c r="R89" i="27"/>
  <c r="U88" i="27"/>
  <c r="T88" i="27"/>
  <c r="S88" i="27"/>
  <c r="R88" i="27"/>
  <c r="U87" i="27"/>
  <c r="T87" i="27"/>
  <c r="S87" i="27"/>
  <c r="R87" i="27"/>
  <c r="U86" i="27"/>
  <c r="T86" i="27"/>
  <c r="S86" i="27"/>
  <c r="R86" i="27"/>
  <c r="U85" i="27"/>
  <c r="T85" i="27"/>
  <c r="S85" i="27"/>
  <c r="R85" i="27"/>
  <c r="U84" i="27"/>
  <c r="T84" i="27"/>
  <c r="S84" i="27"/>
  <c r="R84" i="27"/>
  <c r="U83" i="27"/>
  <c r="T83" i="27"/>
  <c r="S83" i="27"/>
  <c r="R83" i="27"/>
  <c r="U82" i="27"/>
  <c r="T82" i="27"/>
  <c r="S82" i="27"/>
  <c r="R82" i="27"/>
  <c r="U81" i="27"/>
  <c r="T81" i="27"/>
  <c r="S81" i="27"/>
  <c r="R81" i="27"/>
  <c r="U80" i="27"/>
  <c r="T80" i="27"/>
  <c r="S80" i="27"/>
  <c r="R80" i="27"/>
  <c r="U79" i="27"/>
  <c r="T79" i="27"/>
  <c r="S79" i="27"/>
  <c r="R79" i="27"/>
  <c r="U78" i="27"/>
  <c r="T78" i="27"/>
  <c r="S78" i="27"/>
  <c r="R78" i="27"/>
  <c r="U77" i="27"/>
  <c r="T77" i="27"/>
  <c r="S77" i="27"/>
  <c r="R77" i="27"/>
  <c r="U76" i="27"/>
  <c r="T76" i="27"/>
  <c r="S76" i="27"/>
  <c r="R76" i="27"/>
  <c r="U75" i="27"/>
  <c r="T75" i="27"/>
  <c r="S75" i="27"/>
  <c r="R75" i="27"/>
  <c r="Q75" i="27"/>
  <c r="Q74" i="27"/>
  <c r="Q73" i="27"/>
  <c r="Q72" i="27"/>
  <c r="Q71" i="27"/>
  <c r="H2" i="18"/>
  <c r="B60" i="25"/>
  <c r="C59" i="25"/>
  <c r="C54" i="25"/>
  <c r="E58" i="21"/>
  <c r="E57" i="21"/>
  <c r="E56" i="21"/>
  <c r="B60" i="21"/>
  <c r="C61" i="21"/>
  <c r="C59" i="21"/>
  <c r="C54" i="21"/>
  <c r="L81" i="21"/>
  <c r="E58" i="20"/>
  <c r="K58" i="20" s="1"/>
  <c r="N58" i="20" s="1"/>
  <c r="E57" i="20"/>
  <c r="K57" i="20"/>
  <c r="N57" i="20" s="1"/>
  <c r="E56" i="20"/>
  <c r="K56" i="20" s="1"/>
  <c r="C61" i="20"/>
  <c r="B60" i="20"/>
  <c r="C59" i="20"/>
  <c r="C54" i="20"/>
  <c r="L81" i="20"/>
  <c r="L81" i="19"/>
  <c r="C61" i="19"/>
  <c r="E58" i="19"/>
  <c r="K58" i="19"/>
  <c r="N58" i="19" s="1"/>
  <c r="E57" i="19"/>
  <c r="E56" i="19"/>
  <c r="K56" i="19"/>
  <c r="N56" i="19" s="1"/>
  <c r="B60" i="19"/>
  <c r="C59" i="19"/>
  <c r="C59" i="18"/>
  <c r="C54" i="18"/>
  <c r="C54" i="19"/>
  <c r="L81" i="4"/>
  <c r="E58" i="18"/>
  <c r="K58" i="18"/>
  <c r="N58" i="18" s="1"/>
  <c r="E57" i="18"/>
  <c r="E56" i="18"/>
  <c r="B62" i="18"/>
  <c r="C61" i="18"/>
  <c r="B60" i="18"/>
  <c r="E58" i="4"/>
  <c r="N58" i="4" s="1"/>
  <c r="E57" i="4"/>
  <c r="N57" i="4" s="1"/>
  <c r="E56" i="4"/>
  <c r="A60" i="19"/>
  <c r="A60" i="20" s="1"/>
  <c r="A60" i="21" s="1"/>
  <c r="O1" i="21"/>
  <c r="O1" i="20"/>
  <c r="O1" i="19"/>
  <c r="O1" i="18"/>
  <c r="O1" i="4"/>
  <c r="I81" i="4"/>
  <c r="H81" i="4"/>
  <c r="G81" i="4"/>
  <c r="F81" i="4"/>
  <c r="J83" i="20"/>
  <c r="I180" i="25"/>
  <c r="H180" i="25"/>
  <c r="G180" i="25"/>
  <c r="F180" i="25"/>
  <c r="E180" i="25"/>
  <c r="I177" i="25"/>
  <c r="H177" i="25"/>
  <c r="G177" i="25"/>
  <c r="F177" i="25"/>
  <c r="E177" i="25"/>
  <c r="I174" i="25"/>
  <c r="H174" i="25"/>
  <c r="G174" i="25"/>
  <c r="F174" i="25"/>
  <c r="E174" i="25"/>
  <c r="I171" i="25"/>
  <c r="H171" i="25"/>
  <c r="G171" i="25"/>
  <c r="F171" i="25"/>
  <c r="E171" i="25"/>
  <c r="I168" i="25"/>
  <c r="H168" i="25"/>
  <c r="G168" i="25"/>
  <c r="F168" i="25"/>
  <c r="E168" i="25"/>
  <c r="I165" i="25"/>
  <c r="H165" i="25"/>
  <c r="G165" i="25"/>
  <c r="F165" i="25"/>
  <c r="E165" i="25"/>
  <c r="I162" i="25"/>
  <c r="H162" i="25"/>
  <c r="G162" i="25"/>
  <c r="F162" i="25"/>
  <c r="E162" i="25"/>
  <c r="I159" i="25"/>
  <c r="H159" i="25"/>
  <c r="G159" i="25"/>
  <c r="F159" i="25"/>
  <c r="E159" i="25"/>
  <c r="I156" i="25"/>
  <c r="H156" i="25"/>
  <c r="G156" i="25"/>
  <c r="F156" i="25"/>
  <c r="E156" i="25"/>
  <c r="I153" i="25"/>
  <c r="H153" i="25"/>
  <c r="G153" i="25"/>
  <c r="F153" i="25"/>
  <c r="E153" i="25"/>
  <c r="I150" i="25"/>
  <c r="H150" i="25"/>
  <c r="G150" i="25"/>
  <c r="F150" i="25"/>
  <c r="E150" i="25"/>
  <c r="I147" i="25"/>
  <c r="H147" i="25"/>
  <c r="G147" i="25"/>
  <c r="F147" i="25"/>
  <c r="E147" i="25"/>
  <c r="I144" i="25"/>
  <c r="H144" i="25"/>
  <c r="G144" i="25"/>
  <c r="F144" i="25"/>
  <c r="E144" i="25"/>
  <c r="I141" i="25"/>
  <c r="H141" i="25"/>
  <c r="G141" i="25"/>
  <c r="F141" i="25"/>
  <c r="E141" i="25"/>
  <c r="I138" i="25"/>
  <c r="H138" i="25"/>
  <c r="G138" i="25"/>
  <c r="F138" i="25"/>
  <c r="E138" i="25"/>
  <c r="I135" i="25"/>
  <c r="H135" i="25"/>
  <c r="G135" i="25"/>
  <c r="F135" i="25"/>
  <c r="E135" i="25"/>
  <c r="I132" i="25"/>
  <c r="H132" i="25"/>
  <c r="G132" i="25"/>
  <c r="F132" i="25"/>
  <c r="E132" i="25"/>
  <c r="I129" i="25"/>
  <c r="H129" i="25"/>
  <c r="G129" i="25"/>
  <c r="F129" i="25"/>
  <c r="E129" i="25"/>
  <c r="I126" i="25"/>
  <c r="H126" i="25"/>
  <c r="G126" i="25"/>
  <c r="F126" i="25"/>
  <c r="E126" i="25"/>
  <c r="I123" i="25"/>
  <c r="H123" i="25"/>
  <c r="G123" i="25"/>
  <c r="F123" i="25"/>
  <c r="E123" i="25"/>
  <c r="C182" i="25"/>
  <c r="A182" i="25"/>
  <c r="C181" i="25"/>
  <c r="A181" i="25"/>
  <c r="M180" i="25"/>
  <c r="L180" i="25"/>
  <c r="C180" i="25"/>
  <c r="B180" i="25"/>
  <c r="C179" i="25"/>
  <c r="A179" i="25"/>
  <c r="C178" i="25"/>
  <c r="A178" i="25"/>
  <c r="M177" i="25"/>
  <c r="L177" i="25"/>
  <c r="C177" i="25"/>
  <c r="B177" i="25"/>
  <c r="C176" i="25"/>
  <c r="A176" i="25"/>
  <c r="C175" i="25"/>
  <c r="A175" i="25"/>
  <c r="M174" i="25"/>
  <c r="L174" i="25"/>
  <c r="C174" i="25"/>
  <c r="B174" i="25"/>
  <c r="C173" i="25"/>
  <c r="A173" i="25"/>
  <c r="C172" i="25"/>
  <c r="A172" i="25"/>
  <c r="M171" i="25"/>
  <c r="L171" i="25"/>
  <c r="C171" i="25"/>
  <c r="B171" i="25"/>
  <c r="C170" i="25"/>
  <c r="A170" i="25"/>
  <c r="C169" i="25"/>
  <c r="A169" i="25"/>
  <c r="M168" i="25"/>
  <c r="L168" i="25"/>
  <c r="C168" i="25"/>
  <c r="B168" i="25"/>
  <c r="C167" i="25"/>
  <c r="A167" i="25"/>
  <c r="C166" i="25"/>
  <c r="A166" i="25"/>
  <c r="M165" i="25"/>
  <c r="L165" i="25"/>
  <c r="C165" i="25"/>
  <c r="B165" i="25"/>
  <c r="C164" i="25"/>
  <c r="A164" i="25"/>
  <c r="C163" i="25"/>
  <c r="A163" i="25"/>
  <c r="M162" i="25"/>
  <c r="L162" i="25"/>
  <c r="C162" i="25"/>
  <c r="B162" i="25"/>
  <c r="C161" i="25"/>
  <c r="A161" i="25"/>
  <c r="C160" i="25"/>
  <c r="A160" i="25"/>
  <c r="M159" i="25"/>
  <c r="L159" i="25"/>
  <c r="C159" i="25"/>
  <c r="B159" i="25"/>
  <c r="C158" i="25"/>
  <c r="A158" i="25"/>
  <c r="C157" i="25"/>
  <c r="A157" i="25"/>
  <c r="M156" i="25"/>
  <c r="L156" i="25"/>
  <c r="C156" i="25"/>
  <c r="B156" i="25"/>
  <c r="C155" i="25"/>
  <c r="A155" i="25"/>
  <c r="C154" i="25"/>
  <c r="A154" i="25"/>
  <c r="M153" i="25"/>
  <c r="L153" i="25"/>
  <c r="C153" i="25"/>
  <c r="B153" i="25"/>
  <c r="J180" i="21"/>
  <c r="J177" i="21"/>
  <c r="J174" i="21"/>
  <c r="J171" i="21"/>
  <c r="J168" i="21"/>
  <c r="J165" i="21"/>
  <c r="J162" i="21"/>
  <c r="J159" i="21"/>
  <c r="J156" i="21"/>
  <c r="J153" i="21"/>
  <c r="J150" i="21"/>
  <c r="J147" i="21"/>
  <c r="J144" i="21"/>
  <c r="J141" i="21"/>
  <c r="J138" i="21"/>
  <c r="J135" i="21"/>
  <c r="J132" i="21"/>
  <c r="J129" i="21"/>
  <c r="J126" i="21"/>
  <c r="J123" i="21"/>
  <c r="M183" i="21"/>
  <c r="M48" i="21" s="1"/>
  <c r="L183" i="21"/>
  <c r="I183" i="21"/>
  <c r="I48" i="21" s="1"/>
  <c r="H183" i="21"/>
  <c r="H48" i="21" s="1"/>
  <c r="G183" i="21"/>
  <c r="F183" i="21"/>
  <c r="F48" i="21" s="1"/>
  <c r="E183" i="21"/>
  <c r="E48" i="21" s="1"/>
  <c r="J163" i="20"/>
  <c r="J157" i="20"/>
  <c r="J180" i="20"/>
  <c r="J177" i="20"/>
  <c r="J174" i="20"/>
  <c r="J171" i="20"/>
  <c r="J168" i="20"/>
  <c r="J165" i="20"/>
  <c r="J162" i="20"/>
  <c r="J164" i="20" s="1"/>
  <c r="J159" i="20"/>
  <c r="J156" i="20"/>
  <c r="J153" i="20"/>
  <c r="J150" i="20"/>
  <c r="J147" i="20"/>
  <c r="J144" i="20"/>
  <c r="J141" i="20"/>
  <c r="J138" i="20"/>
  <c r="J135" i="20"/>
  <c r="J132" i="20"/>
  <c r="J129" i="20"/>
  <c r="J126" i="20"/>
  <c r="J123" i="20"/>
  <c r="M183" i="20"/>
  <c r="M48" i="20" s="1"/>
  <c r="L183" i="20"/>
  <c r="I183" i="20"/>
  <c r="I48" i="20" s="1"/>
  <c r="H183" i="20"/>
  <c r="H48" i="20" s="1"/>
  <c r="G183" i="20"/>
  <c r="G48" i="20" s="1"/>
  <c r="F183" i="20"/>
  <c r="F48" i="20" s="1"/>
  <c r="E183" i="20"/>
  <c r="E48" i="20" s="1"/>
  <c r="M183" i="4"/>
  <c r="M48" i="4" s="1"/>
  <c r="L183" i="4"/>
  <c r="L48" i="4" s="1"/>
  <c r="I183" i="4"/>
  <c r="I48" i="4" s="1"/>
  <c r="H183" i="4"/>
  <c r="G183" i="4"/>
  <c r="G48" i="4"/>
  <c r="F183" i="4"/>
  <c r="F48" i="4" s="1"/>
  <c r="E183" i="4"/>
  <c r="E48" i="4" s="1"/>
  <c r="H187" i="27"/>
  <c r="G187" i="27"/>
  <c r="D183" i="20" s="1"/>
  <c r="F187" i="27"/>
  <c r="E187" i="27"/>
  <c r="D183" i="18" s="1"/>
  <c r="D187" i="27"/>
  <c r="D183" i="4" s="1"/>
  <c r="M183" i="18"/>
  <c r="M48" i="18" s="1"/>
  <c r="L183" i="18"/>
  <c r="L48" i="18" s="1"/>
  <c r="M183" i="19"/>
  <c r="M48" i="19" s="1"/>
  <c r="L183" i="19"/>
  <c r="I183" i="19"/>
  <c r="I48" i="19" s="1"/>
  <c r="H183" i="19"/>
  <c r="H48" i="19" s="1"/>
  <c r="G183" i="19"/>
  <c r="G48" i="19"/>
  <c r="F183" i="19"/>
  <c r="F48" i="19"/>
  <c r="E183" i="19"/>
  <c r="E48" i="19" s="1"/>
  <c r="J180" i="19"/>
  <c r="J177" i="19"/>
  <c r="J174" i="19"/>
  <c r="J171" i="19"/>
  <c r="J168" i="19"/>
  <c r="J165" i="19"/>
  <c r="J162" i="19"/>
  <c r="J159" i="19"/>
  <c r="J156" i="19"/>
  <c r="J153" i="19"/>
  <c r="J150" i="19"/>
  <c r="J147" i="19"/>
  <c r="J144" i="19"/>
  <c r="J141" i="19"/>
  <c r="J138" i="19"/>
  <c r="J135" i="19"/>
  <c r="J132" i="19"/>
  <c r="J129" i="19"/>
  <c r="J126" i="19"/>
  <c r="J123" i="19"/>
  <c r="I183" i="18"/>
  <c r="I48" i="18" s="1"/>
  <c r="H183" i="18"/>
  <c r="H48" i="18" s="1"/>
  <c r="G183" i="18"/>
  <c r="G48" i="18" s="1"/>
  <c r="F183" i="18"/>
  <c r="F48" i="18" s="1"/>
  <c r="E183" i="18"/>
  <c r="E48" i="18" s="1"/>
  <c r="J180" i="18"/>
  <c r="J177" i="18"/>
  <c r="J174" i="18"/>
  <c r="J171" i="18"/>
  <c r="J168" i="18"/>
  <c r="J165" i="18"/>
  <c r="J162" i="18"/>
  <c r="J159" i="18"/>
  <c r="J156" i="18"/>
  <c r="J153" i="18"/>
  <c r="J150" i="18"/>
  <c r="J147" i="18"/>
  <c r="J144" i="18"/>
  <c r="J141" i="18"/>
  <c r="J138" i="18"/>
  <c r="J135" i="18"/>
  <c r="J132" i="18"/>
  <c r="J129" i="18"/>
  <c r="J126" i="18"/>
  <c r="J123" i="18"/>
  <c r="J180" i="4"/>
  <c r="Y141" i="4" s="1"/>
  <c r="J177" i="4"/>
  <c r="Y140" i="4"/>
  <c r="J174" i="4"/>
  <c r="J171" i="4"/>
  <c r="Y138" i="4"/>
  <c r="J168" i="4"/>
  <c r="Y137" i="4"/>
  <c r="J165" i="4"/>
  <c r="Y136" i="4" s="1"/>
  <c r="AA136" i="4" s="1"/>
  <c r="J162" i="4"/>
  <c r="Y135" i="4"/>
  <c r="J159" i="4"/>
  <c r="J156" i="4"/>
  <c r="Y133" i="4"/>
  <c r="J157" i="4" s="1"/>
  <c r="J153" i="4"/>
  <c r="Y132" i="4"/>
  <c r="J150" i="4"/>
  <c r="Y131" i="4" s="1"/>
  <c r="J147" i="4"/>
  <c r="J144" i="4"/>
  <c r="J141" i="4"/>
  <c r="Y128" i="4"/>
  <c r="J138" i="4"/>
  <c r="Y127" i="4" s="1"/>
  <c r="J135" i="4"/>
  <c r="Y126" i="4"/>
  <c r="J132" i="4"/>
  <c r="Y125" i="4" s="1"/>
  <c r="J129" i="4"/>
  <c r="J126" i="4"/>
  <c r="Y123" i="4" s="1"/>
  <c r="J123" i="4"/>
  <c r="C182" i="21"/>
  <c r="A182" i="21"/>
  <c r="C181" i="21"/>
  <c r="A181" i="21"/>
  <c r="D180" i="21"/>
  <c r="B180" i="21"/>
  <c r="C179" i="21"/>
  <c r="A179" i="21"/>
  <c r="C178" i="21"/>
  <c r="A178" i="21"/>
  <c r="D177" i="21"/>
  <c r="B177" i="21"/>
  <c r="C176" i="21"/>
  <c r="A176" i="21"/>
  <c r="C175" i="21"/>
  <c r="A175" i="21"/>
  <c r="D174" i="21"/>
  <c r="B174" i="21"/>
  <c r="C173" i="21"/>
  <c r="A173" i="21"/>
  <c r="C172" i="21"/>
  <c r="A172" i="21"/>
  <c r="D171" i="21"/>
  <c r="B171" i="21"/>
  <c r="C170" i="21"/>
  <c r="A170" i="21"/>
  <c r="C169" i="21"/>
  <c r="A169" i="21"/>
  <c r="D168" i="21"/>
  <c r="B168" i="21"/>
  <c r="C167" i="21"/>
  <c r="A167" i="21"/>
  <c r="C166" i="21"/>
  <c r="A166" i="21"/>
  <c r="D165" i="21"/>
  <c r="B165" i="21"/>
  <c r="C164" i="21"/>
  <c r="A164" i="21"/>
  <c r="C163" i="21"/>
  <c r="A163" i="21"/>
  <c r="D162" i="21"/>
  <c r="B162" i="21"/>
  <c r="C161" i="21"/>
  <c r="A161" i="21"/>
  <c r="C160" i="21"/>
  <c r="A160" i="21"/>
  <c r="D159" i="21"/>
  <c r="B159" i="21"/>
  <c r="C158" i="21"/>
  <c r="A158" i="21"/>
  <c r="C157" i="21"/>
  <c r="A157" i="21"/>
  <c r="D156" i="21"/>
  <c r="B156" i="21"/>
  <c r="C155" i="21"/>
  <c r="A155" i="21"/>
  <c r="C154" i="21"/>
  <c r="A154" i="21"/>
  <c r="D153" i="21"/>
  <c r="B153" i="21"/>
  <c r="C182" i="20"/>
  <c r="A182" i="20"/>
  <c r="C181" i="20"/>
  <c r="A181" i="20"/>
  <c r="D180" i="20"/>
  <c r="C180" i="20"/>
  <c r="C180" i="21"/>
  <c r="B180" i="20"/>
  <c r="C179" i="20"/>
  <c r="A179" i="20"/>
  <c r="C178" i="20"/>
  <c r="A178" i="20"/>
  <c r="D177" i="20"/>
  <c r="C177" i="20"/>
  <c r="C177" i="21" s="1"/>
  <c r="B177" i="20"/>
  <c r="C176" i="20"/>
  <c r="A176" i="20"/>
  <c r="C175" i="20"/>
  <c r="A175" i="20"/>
  <c r="D174" i="20"/>
  <c r="C174" i="20"/>
  <c r="C174" i="21" s="1"/>
  <c r="B174" i="20"/>
  <c r="C173" i="20"/>
  <c r="A173" i="20"/>
  <c r="C172" i="20"/>
  <c r="A172" i="20"/>
  <c r="D171" i="20"/>
  <c r="N171" i="20"/>
  <c r="C171" i="20"/>
  <c r="C171" i="21" s="1"/>
  <c r="B171" i="20"/>
  <c r="C170" i="20"/>
  <c r="A170" i="20"/>
  <c r="C169" i="20"/>
  <c r="A169" i="20"/>
  <c r="D168" i="20"/>
  <c r="C168" i="20"/>
  <c r="C168" i="21" s="1"/>
  <c r="B168" i="20"/>
  <c r="C167" i="20"/>
  <c r="A167" i="20"/>
  <c r="C166" i="20"/>
  <c r="A166" i="20"/>
  <c r="D165" i="20"/>
  <c r="C165" i="20"/>
  <c r="C165" i="21" s="1"/>
  <c r="B165" i="20"/>
  <c r="C164" i="20"/>
  <c r="A164" i="20"/>
  <c r="C163" i="20"/>
  <c r="A163" i="20"/>
  <c r="D162" i="20"/>
  <c r="C162" i="20"/>
  <c r="C162" i="21" s="1"/>
  <c r="B162" i="20"/>
  <c r="C161" i="20"/>
  <c r="A161" i="20"/>
  <c r="C160" i="20"/>
  <c r="A160" i="20"/>
  <c r="D159" i="20"/>
  <c r="C159" i="20"/>
  <c r="C159" i="21" s="1"/>
  <c r="B159" i="20"/>
  <c r="C158" i="20"/>
  <c r="A158" i="20"/>
  <c r="C157" i="20"/>
  <c r="A157" i="20"/>
  <c r="D156" i="20"/>
  <c r="C156" i="20"/>
  <c r="C156" i="21" s="1"/>
  <c r="B156" i="20"/>
  <c r="C155" i="20"/>
  <c r="A155" i="20"/>
  <c r="C154" i="20"/>
  <c r="A154" i="20"/>
  <c r="D153" i="20"/>
  <c r="C153" i="20"/>
  <c r="C153" i="21" s="1"/>
  <c r="B153" i="20"/>
  <c r="C182" i="19"/>
  <c r="A182" i="19"/>
  <c r="C181" i="19"/>
  <c r="A181" i="19"/>
  <c r="D180" i="19"/>
  <c r="C180" i="19"/>
  <c r="B180" i="19"/>
  <c r="C179" i="19"/>
  <c r="A179" i="19"/>
  <c r="C178" i="19"/>
  <c r="A178" i="19"/>
  <c r="D177" i="19"/>
  <c r="C177" i="19"/>
  <c r="B177" i="19"/>
  <c r="C176" i="19"/>
  <c r="A176" i="19"/>
  <c r="C175" i="19"/>
  <c r="A175" i="19"/>
  <c r="D174" i="19"/>
  <c r="K174" i="19"/>
  <c r="C174" i="19"/>
  <c r="B174" i="19"/>
  <c r="C173" i="19"/>
  <c r="A173" i="19"/>
  <c r="C172" i="19"/>
  <c r="A172" i="19"/>
  <c r="D171" i="19"/>
  <c r="N171" i="19" s="1"/>
  <c r="C171" i="19"/>
  <c r="B171" i="19"/>
  <c r="C170" i="19"/>
  <c r="A170" i="19"/>
  <c r="C169" i="19"/>
  <c r="A169" i="19"/>
  <c r="D168" i="19"/>
  <c r="C168" i="19"/>
  <c r="B168" i="19"/>
  <c r="C167" i="19"/>
  <c r="A167" i="19"/>
  <c r="C166" i="19"/>
  <c r="A166" i="19"/>
  <c r="D165" i="19"/>
  <c r="N165" i="19" s="1"/>
  <c r="C165" i="19"/>
  <c r="B165" i="19"/>
  <c r="C164" i="19"/>
  <c r="A164" i="19"/>
  <c r="C163" i="19"/>
  <c r="A163" i="19"/>
  <c r="D162" i="19"/>
  <c r="K162" i="19" s="1"/>
  <c r="C162" i="19"/>
  <c r="B162" i="19"/>
  <c r="C161" i="19"/>
  <c r="A161" i="19"/>
  <c r="C160" i="19"/>
  <c r="A160" i="19"/>
  <c r="D159" i="19"/>
  <c r="N159" i="19" s="1"/>
  <c r="C159" i="19"/>
  <c r="B159" i="19"/>
  <c r="C158" i="19"/>
  <c r="A158" i="19"/>
  <c r="C157" i="19"/>
  <c r="A157" i="19"/>
  <c r="D156" i="19"/>
  <c r="C156" i="19"/>
  <c r="B156" i="19"/>
  <c r="C155" i="19"/>
  <c r="A155" i="19"/>
  <c r="C154" i="19"/>
  <c r="A154" i="19"/>
  <c r="D153" i="19"/>
  <c r="C153" i="19"/>
  <c r="B153" i="19"/>
  <c r="C182" i="18"/>
  <c r="A182" i="18"/>
  <c r="C181" i="18"/>
  <c r="A181" i="18"/>
  <c r="D180" i="18"/>
  <c r="C180" i="18"/>
  <c r="B180" i="18"/>
  <c r="C179" i="18"/>
  <c r="A179" i="18"/>
  <c r="C178" i="18"/>
  <c r="A178" i="18"/>
  <c r="D177" i="18"/>
  <c r="C177" i="18"/>
  <c r="B177" i="18"/>
  <c r="C176" i="18"/>
  <c r="A176" i="18"/>
  <c r="C175" i="18"/>
  <c r="A175" i="18"/>
  <c r="D174" i="18"/>
  <c r="C174" i="18"/>
  <c r="B174" i="18"/>
  <c r="C173" i="18"/>
  <c r="A173" i="18"/>
  <c r="C172" i="18"/>
  <c r="A172" i="18"/>
  <c r="D171" i="18"/>
  <c r="C171" i="18"/>
  <c r="B171" i="18"/>
  <c r="C170" i="18"/>
  <c r="A170" i="18"/>
  <c r="C169" i="18"/>
  <c r="A169" i="18"/>
  <c r="D168" i="18"/>
  <c r="C168" i="18"/>
  <c r="B168" i="18"/>
  <c r="C167" i="18"/>
  <c r="A167" i="18"/>
  <c r="C166" i="18"/>
  <c r="A166" i="18"/>
  <c r="D165" i="18"/>
  <c r="N165" i="18" s="1"/>
  <c r="C165" i="18"/>
  <c r="B165" i="18"/>
  <c r="C164" i="18"/>
  <c r="A164" i="18"/>
  <c r="C163" i="18"/>
  <c r="A163" i="18"/>
  <c r="D162" i="18"/>
  <c r="C162" i="18"/>
  <c r="B162" i="18"/>
  <c r="C161" i="18"/>
  <c r="A161" i="18"/>
  <c r="C160" i="18"/>
  <c r="A160" i="18"/>
  <c r="D159" i="18"/>
  <c r="C159" i="18"/>
  <c r="B159" i="18"/>
  <c r="C158" i="18"/>
  <c r="A158" i="18"/>
  <c r="C157" i="18"/>
  <c r="A157" i="18"/>
  <c r="D156" i="18"/>
  <c r="C156" i="18"/>
  <c r="B156" i="18"/>
  <c r="C155" i="18"/>
  <c r="A155" i="18"/>
  <c r="C154" i="18"/>
  <c r="A154" i="18"/>
  <c r="D153" i="18"/>
  <c r="C153" i="18"/>
  <c r="B153" i="18"/>
  <c r="S141" i="4"/>
  <c r="S140" i="4"/>
  <c r="S139" i="4"/>
  <c r="S138" i="4"/>
  <c r="S137" i="4"/>
  <c r="S136" i="4"/>
  <c r="S135" i="4"/>
  <c r="S134" i="4"/>
  <c r="S133" i="4"/>
  <c r="S132" i="4"/>
  <c r="S131" i="4"/>
  <c r="S130" i="4"/>
  <c r="S129" i="4"/>
  <c r="S128" i="4"/>
  <c r="S127" i="4"/>
  <c r="S126" i="4"/>
  <c r="S125" i="4"/>
  <c r="S124" i="4"/>
  <c r="S123" i="4"/>
  <c r="S122" i="4"/>
  <c r="C182" i="4"/>
  <c r="A182" i="4"/>
  <c r="C181" i="4"/>
  <c r="A181" i="4"/>
  <c r="D180" i="4"/>
  <c r="C180" i="4"/>
  <c r="B180" i="4"/>
  <c r="C179" i="4"/>
  <c r="A179" i="4"/>
  <c r="C178" i="4"/>
  <c r="A178" i="4"/>
  <c r="D177" i="4"/>
  <c r="C177" i="4"/>
  <c r="B177" i="4"/>
  <c r="C176" i="4"/>
  <c r="A176" i="4"/>
  <c r="C175" i="4"/>
  <c r="A175" i="4"/>
  <c r="D174" i="4"/>
  <c r="C174" i="4"/>
  <c r="B174" i="4"/>
  <c r="C173" i="4"/>
  <c r="A173" i="4"/>
  <c r="C172" i="4"/>
  <c r="A172" i="4"/>
  <c r="D171" i="4"/>
  <c r="K171" i="4"/>
  <c r="N171" i="4"/>
  <c r="C171" i="4"/>
  <c r="B171" i="4"/>
  <c r="C170" i="4"/>
  <c r="A170" i="4"/>
  <c r="C169" i="4"/>
  <c r="A169" i="4"/>
  <c r="D168" i="4"/>
  <c r="K168" i="4" s="1"/>
  <c r="N168" i="4" s="1"/>
  <c r="C168" i="4"/>
  <c r="B168" i="4"/>
  <c r="C167" i="4"/>
  <c r="A167" i="4"/>
  <c r="C166" i="4"/>
  <c r="A166" i="4"/>
  <c r="D165" i="4"/>
  <c r="C165" i="4"/>
  <c r="B165" i="4"/>
  <c r="C164" i="4"/>
  <c r="A164" i="4"/>
  <c r="C163" i="4"/>
  <c r="A163" i="4"/>
  <c r="D162" i="4"/>
  <c r="C162" i="4"/>
  <c r="B162" i="4"/>
  <c r="C161" i="4"/>
  <c r="A161" i="4"/>
  <c r="C160" i="4"/>
  <c r="A160" i="4"/>
  <c r="D159" i="4"/>
  <c r="C159" i="4"/>
  <c r="B159" i="4"/>
  <c r="C158" i="4"/>
  <c r="A158" i="4"/>
  <c r="C157" i="4"/>
  <c r="A157" i="4"/>
  <c r="D156" i="4"/>
  <c r="K156" i="4" s="1"/>
  <c r="N156" i="4" s="1"/>
  <c r="C156" i="4"/>
  <c r="B156" i="4"/>
  <c r="C155" i="4"/>
  <c r="A155" i="4"/>
  <c r="C154" i="4"/>
  <c r="A154" i="4"/>
  <c r="D153" i="4"/>
  <c r="C153" i="4"/>
  <c r="B153" i="4"/>
  <c r="G48" i="27"/>
  <c r="S146" i="27"/>
  <c r="T146" i="27" s="1"/>
  <c r="S145" i="27"/>
  <c r="S144" i="27"/>
  <c r="D179" i="27" s="1"/>
  <c r="S143" i="27"/>
  <c r="S142" i="27"/>
  <c r="N142" i="27" s="1"/>
  <c r="D173" i="27"/>
  <c r="S141" i="27"/>
  <c r="N141" i="27"/>
  <c r="S140" i="27"/>
  <c r="T140" i="27" s="1"/>
  <c r="S139" i="27"/>
  <c r="T139" i="27" s="1"/>
  <c r="U139" i="27" s="1"/>
  <c r="S138" i="27"/>
  <c r="D161" i="27" s="1"/>
  <c r="S137" i="27"/>
  <c r="M146" i="27"/>
  <c r="M145" i="27"/>
  <c r="M144" i="27"/>
  <c r="M143" i="27"/>
  <c r="M142" i="27"/>
  <c r="M141" i="27"/>
  <c r="M140" i="27"/>
  <c r="M139" i="27"/>
  <c r="M138" i="27"/>
  <c r="M137" i="27"/>
  <c r="I184" i="27"/>
  <c r="D180" i="25"/>
  <c r="I181" i="27"/>
  <c r="D177" i="25"/>
  <c r="I178" i="27"/>
  <c r="D174" i="25" s="1"/>
  <c r="I175" i="27"/>
  <c r="D171" i="25" s="1"/>
  <c r="I172" i="27"/>
  <c r="D168" i="25" s="1"/>
  <c r="I169" i="27"/>
  <c r="D165" i="25" s="1"/>
  <c r="I166" i="27"/>
  <c r="D162" i="25" s="1"/>
  <c r="I163" i="27"/>
  <c r="D159" i="25"/>
  <c r="I160" i="27"/>
  <c r="D156" i="25"/>
  <c r="I157" i="27"/>
  <c r="D153" i="25" s="1"/>
  <c r="B119" i="25"/>
  <c r="B118" i="25"/>
  <c r="B117" i="25"/>
  <c r="B116" i="25"/>
  <c r="B115" i="25"/>
  <c r="B114" i="25"/>
  <c r="B113" i="25"/>
  <c r="B112" i="25"/>
  <c r="C119" i="25"/>
  <c r="C118" i="25"/>
  <c r="C117" i="25"/>
  <c r="C116" i="25"/>
  <c r="C115" i="25"/>
  <c r="C114" i="25"/>
  <c r="C113" i="25"/>
  <c r="A119" i="25"/>
  <c r="A118" i="25"/>
  <c r="A117" i="25"/>
  <c r="A116" i="25"/>
  <c r="A115" i="25"/>
  <c r="A114" i="25"/>
  <c r="A113" i="25"/>
  <c r="A112" i="25"/>
  <c r="A111" i="25"/>
  <c r="B111" i="25"/>
  <c r="M119" i="25"/>
  <c r="L119" i="25"/>
  <c r="M118" i="25"/>
  <c r="L118" i="25"/>
  <c r="M117" i="25"/>
  <c r="L117" i="25"/>
  <c r="M116" i="25"/>
  <c r="L116" i="25"/>
  <c r="M115" i="25"/>
  <c r="L115" i="25"/>
  <c r="M114" i="25"/>
  <c r="L114" i="25"/>
  <c r="M113" i="25"/>
  <c r="L113" i="25"/>
  <c r="M112" i="25"/>
  <c r="L112" i="25"/>
  <c r="M111" i="25"/>
  <c r="L111" i="25"/>
  <c r="I119" i="25"/>
  <c r="H119" i="25"/>
  <c r="G119" i="25"/>
  <c r="F119" i="25"/>
  <c r="E119" i="25"/>
  <c r="I118" i="25"/>
  <c r="H118" i="25"/>
  <c r="G118" i="25"/>
  <c r="F118" i="25"/>
  <c r="E118" i="25"/>
  <c r="I117" i="25"/>
  <c r="H117" i="25"/>
  <c r="G117" i="25"/>
  <c r="F117" i="25"/>
  <c r="E117" i="25"/>
  <c r="I116" i="25"/>
  <c r="H116" i="25"/>
  <c r="G116" i="25"/>
  <c r="F116" i="25"/>
  <c r="E116" i="25"/>
  <c r="I115" i="25"/>
  <c r="H115" i="25"/>
  <c r="G115" i="25"/>
  <c r="F115" i="25"/>
  <c r="E115" i="25"/>
  <c r="I114" i="25"/>
  <c r="H114" i="25"/>
  <c r="G114" i="25"/>
  <c r="F114" i="25"/>
  <c r="E114" i="25"/>
  <c r="I113" i="25"/>
  <c r="H113" i="25"/>
  <c r="G113" i="25"/>
  <c r="F113" i="25"/>
  <c r="E113" i="25"/>
  <c r="I112" i="25"/>
  <c r="H112" i="25"/>
  <c r="G112" i="25"/>
  <c r="F112" i="25"/>
  <c r="E112" i="25"/>
  <c r="I111" i="25"/>
  <c r="H111" i="25"/>
  <c r="G111" i="25"/>
  <c r="F111" i="25"/>
  <c r="E111" i="25"/>
  <c r="C152" i="25"/>
  <c r="C151" i="25"/>
  <c r="C149" i="25"/>
  <c r="C148" i="25"/>
  <c r="C146" i="25"/>
  <c r="C145" i="25"/>
  <c r="C143" i="25"/>
  <c r="C142" i="25"/>
  <c r="C140" i="25"/>
  <c r="C139" i="25"/>
  <c r="C137" i="25"/>
  <c r="C136" i="25"/>
  <c r="C134" i="25"/>
  <c r="C133" i="25"/>
  <c r="C131" i="25"/>
  <c r="C130" i="25"/>
  <c r="C128" i="25"/>
  <c r="C127" i="25"/>
  <c r="C125" i="25"/>
  <c r="C124" i="25"/>
  <c r="B150" i="25"/>
  <c r="B147" i="25"/>
  <c r="B144" i="25"/>
  <c r="B141" i="25"/>
  <c r="B138" i="25"/>
  <c r="B135" i="25"/>
  <c r="B132" i="25"/>
  <c r="B129" i="25"/>
  <c r="B126" i="25"/>
  <c r="B123" i="25"/>
  <c r="A152" i="25"/>
  <c r="A151" i="25"/>
  <c r="A149" i="25"/>
  <c r="A148" i="25"/>
  <c r="A146" i="25"/>
  <c r="A145" i="25"/>
  <c r="A143" i="25"/>
  <c r="A142" i="25"/>
  <c r="A140" i="25"/>
  <c r="A139" i="25"/>
  <c r="A137" i="25"/>
  <c r="A136" i="25"/>
  <c r="A134" i="25"/>
  <c r="A133" i="25"/>
  <c r="A131" i="25"/>
  <c r="A130" i="25"/>
  <c r="A128" i="25"/>
  <c r="A127" i="25"/>
  <c r="A125" i="25"/>
  <c r="A124" i="25"/>
  <c r="C150" i="25"/>
  <c r="C147" i="25"/>
  <c r="C144" i="25"/>
  <c r="C141" i="25"/>
  <c r="C138" i="25"/>
  <c r="C135" i="25"/>
  <c r="C132" i="25"/>
  <c r="C129" i="25"/>
  <c r="C126" i="25"/>
  <c r="C123" i="25"/>
  <c r="C150" i="18"/>
  <c r="C147" i="18"/>
  <c r="C144" i="18"/>
  <c r="C141" i="18"/>
  <c r="C138" i="18"/>
  <c r="C135" i="18"/>
  <c r="C132" i="18"/>
  <c r="C129" i="18"/>
  <c r="C126" i="18"/>
  <c r="D113" i="18"/>
  <c r="D112" i="18"/>
  <c r="D111" i="18"/>
  <c r="O1" i="25"/>
  <c r="E6" i="25"/>
  <c r="F6" i="25"/>
  <c r="G6" i="25"/>
  <c r="H6" i="25"/>
  <c r="I6" i="25"/>
  <c r="J6" i="25"/>
  <c r="L6" i="25"/>
  <c r="M6" i="25"/>
  <c r="E8" i="25"/>
  <c r="F8" i="25"/>
  <c r="G8" i="25"/>
  <c r="H8" i="25"/>
  <c r="I8" i="25"/>
  <c r="L8" i="25"/>
  <c r="M8" i="25"/>
  <c r="E9" i="25"/>
  <c r="F9" i="25"/>
  <c r="G9" i="25"/>
  <c r="H9" i="25"/>
  <c r="I9" i="25"/>
  <c r="L9" i="25"/>
  <c r="M9" i="25"/>
  <c r="E10" i="25"/>
  <c r="F10" i="25"/>
  <c r="G10" i="25"/>
  <c r="H10" i="25"/>
  <c r="I10" i="25"/>
  <c r="L10" i="25"/>
  <c r="M10" i="25"/>
  <c r="E11" i="25"/>
  <c r="F11" i="25"/>
  <c r="G11" i="25"/>
  <c r="H11" i="25"/>
  <c r="I11" i="25"/>
  <c r="L11" i="25"/>
  <c r="M11" i="25"/>
  <c r="A12" i="25"/>
  <c r="A13" i="25"/>
  <c r="A14" i="25"/>
  <c r="E15" i="25"/>
  <c r="F15" i="25"/>
  <c r="G15" i="25"/>
  <c r="H15" i="25"/>
  <c r="I15" i="25"/>
  <c r="L15" i="25"/>
  <c r="M15" i="25"/>
  <c r="E16" i="25"/>
  <c r="F16" i="25"/>
  <c r="G16" i="25"/>
  <c r="H16" i="25"/>
  <c r="I16" i="25"/>
  <c r="L16" i="25"/>
  <c r="M16" i="25"/>
  <c r="E17" i="25"/>
  <c r="F17" i="25"/>
  <c r="G17" i="25"/>
  <c r="H17" i="25"/>
  <c r="I17" i="25"/>
  <c r="L17" i="25"/>
  <c r="M17" i="25"/>
  <c r="C18" i="25"/>
  <c r="E18" i="25"/>
  <c r="F18" i="25"/>
  <c r="G18" i="25"/>
  <c r="H18" i="25"/>
  <c r="I18" i="25"/>
  <c r="L18" i="25"/>
  <c r="M18" i="25"/>
  <c r="E19" i="25"/>
  <c r="F19" i="25"/>
  <c r="G19" i="25"/>
  <c r="H19" i="25"/>
  <c r="I19" i="25"/>
  <c r="L19" i="25"/>
  <c r="M19" i="25"/>
  <c r="E20" i="25"/>
  <c r="F20" i="25"/>
  <c r="G20" i="25"/>
  <c r="H20" i="25"/>
  <c r="I20" i="25"/>
  <c r="L20" i="25"/>
  <c r="M20" i="25"/>
  <c r="E21" i="25"/>
  <c r="F21" i="25"/>
  <c r="G21" i="25"/>
  <c r="H21" i="25"/>
  <c r="I21" i="25"/>
  <c r="L21" i="25"/>
  <c r="M21" i="25"/>
  <c r="B22" i="25"/>
  <c r="E22" i="25"/>
  <c r="F22" i="25"/>
  <c r="G22" i="25"/>
  <c r="H22" i="25"/>
  <c r="I22" i="25"/>
  <c r="L22" i="25"/>
  <c r="M22" i="25"/>
  <c r="B24" i="25"/>
  <c r="B25" i="25"/>
  <c r="E28" i="25"/>
  <c r="F28" i="25"/>
  <c r="G28" i="25"/>
  <c r="H28" i="25"/>
  <c r="I28" i="25"/>
  <c r="L28" i="25"/>
  <c r="M28" i="25"/>
  <c r="E29" i="25"/>
  <c r="F29" i="25"/>
  <c r="G29" i="25"/>
  <c r="H29" i="25"/>
  <c r="I29" i="25"/>
  <c r="L29" i="25"/>
  <c r="M29" i="25"/>
  <c r="A30" i="25"/>
  <c r="E33" i="25"/>
  <c r="F33" i="25"/>
  <c r="G33" i="25"/>
  <c r="H33" i="25"/>
  <c r="I33" i="25"/>
  <c r="L33" i="25"/>
  <c r="M33" i="25"/>
  <c r="E34" i="25"/>
  <c r="F34" i="25"/>
  <c r="G34" i="25"/>
  <c r="H34" i="25"/>
  <c r="I34" i="25"/>
  <c r="L34" i="25"/>
  <c r="M34" i="25"/>
  <c r="E35" i="25"/>
  <c r="F35" i="25"/>
  <c r="G35" i="25"/>
  <c r="H35" i="25"/>
  <c r="I35" i="25"/>
  <c r="L35" i="25"/>
  <c r="M35" i="25"/>
  <c r="E38" i="25"/>
  <c r="F38" i="25"/>
  <c r="G38" i="25"/>
  <c r="H38" i="25"/>
  <c r="I38" i="25"/>
  <c r="L38" i="25"/>
  <c r="M38" i="25"/>
  <c r="E39" i="25"/>
  <c r="F39" i="25"/>
  <c r="G39" i="25"/>
  <c r="H39" i="25"/>
  <c r="I39" i="25"/>
  <c r="L39" i="25"/>
  <c r="M39" i="25"/>
  <c r="E40" i="25"/>
  <c r="F40" i="25"/>
  <c r="G40" i="25"/>
  <c r="H40" i="25"/>
  <c r="I40" i="25"/>
  <c r="L40" i="25"/>
  <c r="M40" i="25"/>
  <c r="E41" i="25"/>
  <c r="F41" i="25"/>
  <c r="G41" i="25"/>
  <c r="H41" i="25"/>
  <c r="I41" i="25"/>
  <c r="L41" i="25"/>
  <c r="M41" i="25"/>
  <c r="E44" i="25"/>
  <c r="F44" i="25"/>
  <c r="G44" i="25"/>
  <c r="H44" i="25"/>
  <c r="I44" i="25"/>
  <c r="L44" i="25"/>
  <c r="M44" i="25"/>
  <c r="E45" i="25"/>
  <c r="F45" i="25"/>
  <c r="G45" i="25"/>
  <c r="H45" i="25"/>
  <c r="I45" i="25"/>
  <c r="L45" i="25"/>
  <c r="M45" i="25"/>
  <c r="E46" i="25"/>
  <c r="F46" i="25"/>
  <c r="G46" i="25"/>
  <c r="H46" i="25"/>
  <c r="I46" i="25"/>
  <c r="L46" i="25"/>
  <c r="M46" i="25"/>
  <c r="E47" i="25"/>
  <c r="F47" i="25"/>
  <c r="G47" i="25"/>
  <c r="H47" i="25"/>
  <c r="I47" i="25"/>
  <c r="L47" i="25"/>
  <c r="M47" i="25"/>
  <c r="E49" i="25"/>
  <c r="F49" i="25"/>
  <c r="G49" i="25"/>
  <c r="H49" i="25"/>
  <c r="I49" i="25"/>
  <c r="L49" i="25"/>
  <c r="M49" i="25"/>
  <c r="E50" i="25"/>
  <c r="F50" i="25"/>
  <c r="G50" i="25"/>
  <c r="H50" i="25"/>
  <c r="I50" i="25"/>
  <c r="L50" i="25"/>
  <c r="M50" i="25"/>
  <c r="A51" i="25"/>
  <c r="B51" i="25"/>
  <c r="A52" i="25"/>
  <c r="A53" i="25"/>
  <c r="A54" i="25"/>
  <c r="A62" i="25"/>
  <c r="A63" i="25"/>
  <c r="A64" i="25"/>
  <c r="A65" i="25"/>
  <c r="A66" i="25"/>
  <c r="A67" i="25"/>
  <c r="A68" i="25"/>
  <c r="B68" i="25"/>
  <c r="A69" i="25"/>
  <c r="B69" i="25"/>
  <c r="A70" i="25"/>
  <c r="A71" i="25"/>
  <c r="A72" i="25"/>
  <c r="A73" i="25"/>
  <c r="A74" i="25"/>
  <c r="A75" i="25"/>
  <c r="A76" i="25"/>
  <c r="A77" i="25"/>
  <c r="A78" i="25"/>
  <c r="A79" i="25"/>
  <c r="A80" i="25"/>
  <c r="A81" i="25"/>
  <c r="A82" i="25"/>
  <c r="A83" i="25"/>
  <c r="A84" i="25"/>
  <c r="A85" i="25"/>
  <c r="E86" i="25"/>
  <c r="F86" i="25"/>
  <c r="G86" i="25"/>
  <c r="H86" i="25"/>
  <c r="I86" i="25"/>
  <c r="L86" i="25"/>
  <c r="M86" i="25"/>
  <c r="E87" i="25"/>
  <c r="F87" i="25"/>
  <c r="G87" i="25"/>
  <c r="H87" i="25"/>
  <c r="I87" i="25"/>
  <c r="L87" i="25"/>
  <c r="M87" i="25"/>
  <c r="E88" i="25"/>
  <c r="F88" i="25"/>
  <c r="G88" i="25"/>
  <c r="H88" i="25"/>
  <c r="I88" i="25"/>
  <c r="L88" i="25"/>
  <c r="M88" i="25"/>
  <c r="E89" i="25"/>
  <c r="F89" i="25"/>
  <c r="G89" i="25"/>
  <c r="H89" i="25"/>
  <c r="I89" i="25"/>
  <c r="L89" i="25"/>
  <c r="M89" i="25"/>
  <c r="E90" i="25"/>
  <c r="F90" i="25"/>
  <c r="G90" i="25"/>
  <c r="H90" i="25"/>
  <c r="I90" i="25"/>
  <c r="L90" i="25"/>
  <c r="M90" i="25"/>
  <c r="E91" i="25"/>
  <c r="F91" i="25"/>
  <c r="G91" i="25"/>
  <c r="H91" i="25"/>
  <c r="I91" i="25"/>
  <c r="L91" i="25"/>
  <c r="M91" i="25"/>
  <c r="E92" i="25"/>
  <c r="F92" i="25"/>
  <c r="G92" i="25"/>
  <c r="H92" i="25"/>
  <c r="I92" i="25"/>
  <c r="L92" i="25"/>
  <c r="M92" i="25"/>
  <c r="E93" i="25"/>
  <c r="F93" i="25"/>
  <c r="G93" i="25"/>
  <c r="H93" i="25"/>
  <c r="I93" i="25"/>
  <c r="L93" i="25"/>
  <c r="M93" i="25"/>
  <c r="E94" i="25"/>
  <c r="F94" i="25"/>
  <c r="G94" i="25"/>
  <c r="H94" i="25"/>
  <c r="I94" i="25"/>
  <c r="L94" i="25"/>
  <c r="M94" i="25"/>
  <c r="E95" i="25"/>
  <c r="F95" i="25"/>
  <c r="G95" i="25"/>
  <c r="H95" i="25"/>
  <c r="I95" i="25"/>
  <c r="L95" i="25"/>
  <c r="M95" i="25"/>
  <c r="E96" i="25"/>
  <c r="F96" i="25"/>
  <c r="G96" i="25"/>
  <c r="H96" i="25"/>
  <c r="I96" i="25"/>
  <c r="L96" i="25"/>
  <c r="M96" i="25"/>
  <c r="E97" i="25"/>
  <c r="F97" i="25"/>
  <c r="G97" i="25"/>
  <c r="H97" i="25"/>
  <c r="I97" i="25"/>
  <c r="L97" i="25"/>
  <c r="M97" i="25"/>
  <c r="E98" i="25"/>
  <c r="F98" i="25"/>
  <c r="G98" i="25"/>
  <c r="H98" i="25"/>
  <c r="I98" i="25"/>
  <c r="L98" i="25"/>
  <c r="M98" i="25"/>
  <c r="E99" i="25"/>
  <c r="F99" i="25"/>
  <c r="G99" i="25"/>
  <c r="H99" i="25"/>
  <c r="I99" i="25"/>
  <c r="L99" i="25"/>
  <c r="M99" i="25"/>
  <c r="E100" i="25"/>
  <c r="F100" i="25"/>
  <c r="G100" i="25"/>
  <c r="H100" i="25"/>
  <c r="I100" i="25"/>
  <c r="L100" i="25"/>
  <c r="M100" i="25"/>
  <c r="E101" i="25"/>
  <c r="F101" i="25"/>
  <c r="G101" i="25"/>
  <c r="H101" i="25"/>
  <c r="I101" i="25"/>
  <c r="L101" i="25"/>
  <c r="M101" i="25"/>
  <c r="A102" i="25"/>
  <c r="A103" i="25"/>
  <c r="E104" i="25"/>
  <c r="F104" i="25"/>
  <c r="G104" i="25"/>
  <c r="H104" i="25"/>
  <c r="I104" i="25"/>
  <c r="L104" i="25"/>
  <c r="M104" i="25"/>
  <c r="E105" i="25"/>
  <c r="F105" i="25"/>
  <c r="G105" i="25"/>
  <c r="H105" i="25"/>
  <c r="I105" i="25"/>
  <c r="L105" i="25"/>
  <c r="M105" i="25"/>
  <c r="E106" i="25"/>
  <c r="F106" i="25"/>
  <c r="G106" i="25"/>
  <c r="H106" i="25"/>
  <c r="I106" i="25"/>
  <c r="L106" i="25"/>
  <c r="M106" i="25"/>
  <c r="E107" i="25"/>
  <c r="F107" i="25"/>
  <c r="G107" i="25"/>
  <c r="H107" i="25"/>
  <c r="I107" i="25"/>
  <c r="L107" i="25"/>
  <c r="M107" i="25"/>
  <c r="E108" i="25"/>
  <c r="F108" i="25"/>
  <c r="G108" i="25"/>
  <c r="H108" i="25"/>
  <c r="I108" i="25"/>
  <c r="L108" i="25"/>
  <c r="M108" i="25"/>
  <c r="A109" i="25"/>
  <c r="A110" i="25"/>
  <c r="C111" i="25"/>
  <c r="C112" i="25"/>
  <c r="A120" i="25"/>
  <c r="L123" i="25"/>
  <c r="M123" i="25"/>
  <c r="L126" i="25"/>
  <c r="M126" i="25"/>
  <c r="L129" i="25"/>
  <c r="M129" i="25"/>
  <c r="L132" i="25"/>
  <c r="M132" i="25"/>
  <c r="L135" i="25"/>
  <c r="M135" i="25"/>
  <c r="L138" i="25"/>
  <c r="M138" i="25"/>
  <c r="L141" i="25"/>
  <c r="M141" i="25"/>
  <c r="L144" i="25"/>
  <c r="M144" i="25"/>
  <c r="L147" i="25"/>
  <c r="M147" i="25"/>
  <c r="L150" i="25"/>
  <c r="M150" i="25"/>
  <c r="E6" i="21"/>
  <c r="F6" i="21"/>
  <c r="G6" i="21"/>
  <c r="H6" i="21"/>
  <c r="I6" i="21"/>
  <c r="J6" i="21"/>
  <c r="L6" i="21"/>
  <c r="M6" i="21"/>
  <c r="B7" i="21"/>
  <c r="D8" i="21"/>
  <c r="J8" i="21"/>
  <c r="D9" i="21"/>
  <c r="J9" i="21"/>
  <c r="D10" i="21"/>
  <c r="J10" i="21"/>
  <c r="D11" i="21"/>
  <c r="J11" i="21"/>
  <c r="B14" i="21"/>
  <c r="D15" i="21"/>
  <c r="J15" i="21"/>
  <c r="D16" i="21"/>
  <c r="J16" i="21"/>
  <c r="D17" i="21"/>
  <c r="J17" i="21"/>
  <c r="C18" i="21"/>
  <c r="D18" i="21"/>
  <c r="J18" i="21"/>
  <c r="D19" i="21"/>
  <c r="J19" i="21"/>
  <c r="D20" i="21"/>
  <c r="J20" i="21"/>
  <c r="D21" i="21"/>
  <c r="J21" i="21"/>
  <c r="K21" i="21" s="1"/>
  <c r="N21" i="21" s="1"/>
  <c r="D22" i="21"/>
  <c r="J22" i="21"/>
  <c r="B27" i="21"/>
  <c r="D28" i="21"/>
  <c r="J28" i="21"/>
  <c r="D29" i="21"/>
  <c r="J29" i="21"/>
  <c r="B32" i="21"/>
  <c r="D33" i="21"/>
  <c r="J33" i="21"/>
  <c r="D34" i="21"/>
  <c r="J34" i="21"/>
  <c r="D35" i="21"/>
  <c r="J35" i="21"/>
  <c r="E36" i="21"/>
  <c r="F36" i="21"/>
  <c r="G36" i="21"/>
  <c r="H36" i="21"/>
  <c r="I36" i="21"/>
  <c r="L36" i="21"/>
  <c r="M36" i="21"/>
  <c r="B37" i="21"/>
  <c r="D38" i="21"/>
  <c r="J38" i="21"/>
  <c r="C39" i="21"/>
  <c r="D39" i="21"/>
  <c r="J39" i="21"/>
  <c r="D40" i="21"/>
  <c r="J40" i="21"/>
  <c r="D41" i="21"/>
  <c r="J41" i="21"/>
  <c r="E42" i="21"/>
  <c r="F42" i="21"/>
  <c r="G42" i="21"/>
  <c r="G80" i="21"/>
  <c r="H42" i="21"/>
  <c r="H80" i="21"/>
  <c r="I42" i="21"/>
  <c r="L42" i="21"/>
  <c r="L80" i="21"/>
  <c r="M42" i="21"/>
  <c r="B43" i="21"/>
  <c r="D44" i="21"/>
  <c r="J44" i="21"/>
  <c r="D45" i="21"/>
  <c r="J45" i="21"/>
  <c r="D46" i="21"/>
  <c r="J46" i="21"/>
  <c r="D47" i="21"/>
  <c r="J47" i="21"/>
  <c r="L48" i="21"/>
  <c r="D49" i="21"/>
  <c r="J49" i="21"/>
  <c r="D50" i="21"/>
  <c r="J50" i="21"/>
  <c r="E81" i="21"/>
  <c r="F81" i="21"/>
  <c r="G81" i="21"/>
  <c r="H81" i="21"/>
  <c r="I81" i="21"/>
  <c r="B83" i="21"/>
  <c r="C83" i="21"/>
  <c r="D83" i="21"/>
  <c r="K83" i="21" s="1"/>
  <c r="N83" i="21" s="1"/>
  <c r="B85" i="21"/>
  <c r="D86" i="21"/>
  <c r="J86" i="21"/>
  <c r="D87" i="21"/>
  <c r="J87" i="21"/>
  <c r="D88" i="21"/>
  <c r="J88" i="21"/>
  <c r="D89" i="21"/>
  <c r="J89" i="21"/>
  <c r="D90" i="21"/>
  <c r="J90" i="21"/>
  <c r="D91" i="21"/>
  <c r="J91" i="21"/>
  <c r="D92" i="21"/>
  <c r="J92" i="21"/>
  <c r="K92" i="21" s="1"/>
  <c r="N92" i="21" s="1"/>
  <c r="D93" i="21"/>
  <c r="J93" i="21"/>
  <c r="D94" i="21"/>
  <c r="J94" i="21"/>
  <c r="D95" i="21"/>
  <c r="J95" i="21"/>
  <c r="D96" i="21"/>
  <c r="J96" i="21"/>
  <c r="D97" i="21"/>
  <c r="J97" i="21"/>
  <c r="D98" i="21"/>
  <c r="J98" i="21"/>
  <c r="D99" i="21"/>
  <c r="J99" i="21"/>
  <c r="D100" i="21"/>
  <c r="J100" i="21"/>
  <c r="K100" i="21" s="1"/>
  <c r="N100" i="21" s="1"/>
  <c r="D101" i="21"/>
  <c r="J101" i="21"/>
  <c r="E102" i="21"/>
  <c r="E12" i="21" s="1"/>
  <c r="F102" i="21"/>
  <c r="G102" i="21"/>
  <c r="G12" i="21" s="1"/>
  <c r="G13" i="21"/>
  <c r="G23" i="21" s="1"/>
  <c r="H102" i="21"/>
  <c r="H12" i="21" s="1"/>
  <c r="H13" i="21" s="1"/>
  <c r="I102" i="21"/>
  <c r="I12" i="21" s="1"/>
  <c r="I13" i="21" s="1"/>
  <c r="L102" i="21"/>
  <c r="L12" i="21" s="1"/>
  <c r="L13" i="21" s="1"/>
  <c r="M102" i="21"/>
  <c r="M12" i="21" s="1"/>
  <c r="M13" i="21"/>
  <c r="B103" i="21"/>
  <c r="D104" i="21"/>
  <c r="J104" i="21"/>
  <c r="D105" i="21"/>
  <c r="J105" i="21"/>
  <c r="D106" i="21"/>
  <c r="J106" i="21"/>
  <c r="D107" i="21"/>
  <c r="J107" i="21"/>
  <c r="D108" i="21"/>
  <c r="J108" i="21"/>
  <c r="E109" i="21"/>
  <c r="E30" i="21" s="1"/>
  <c r="F109" i="21"/>
  <c r="F30" i="21" s="1"/>
  <c r="F31" i="21"/>
  <c r="G109" i="21"/>
  <c r="G30" i="21" s="1"/>
  <c r="G31" i="21" s="1"/>
  <c r="G79" i="21" s="1"/>
  <c r="H109" i="21"/>
  <c r="H30" i="21" s="1"/>
  <c r="H31" i="21" s="1"/>
  <c r="I109" i="21"/>
  <c r="I30" i="21" s="1"/>
  <c r="I31" i="21" s="1"/>
  <c r="L109" i="21"/>
  <c r="L30" i="21" s="1"/>
  <c r="M109" i="21"/>
  <c r="M30" i="21" s="1"/>
  <c r="M31" i="21" s="1"/>
  <c r="B110" i="21"/>
  <c r="C110" i="21"/>
  <c r="D110" i="21"/>
  <c r="E110" i="21"/>
  <c r="F110" i="21"/>
  <c r="G110" i="21"/>
  <c r="H110" i="21"/>
  <c r="I110" i="21"/>
  <c r="J110" i="21"/>
  <c r="K110" i="21"/>
  <c r="L110" i="21"/>
  <c r="M110" i="21"/>
  <c r="N110" i="21"/>
  <c r="D111" i="21"/>
  <c r="J111" i="21"/>
  <c r="D112" i="21"/>
  <c r="J112" i="21"/>
  <c r="D113" i="21"/>
  <c r="J113" i="21"/>
  <c r="D114" i="21"/>
  <c r="J114" i="21"/>
  <c r="D115" i="21"/>
  <c r="J115" i="21"/>
  <c r="D116" i="21"/>
  <c r="J116" i="21"/>
  <c r="K116" i="21" s="1"/>
  <c r="N116" i="21" s="1"/>
  <c r="D117" i="21"/>
  <c r="J117" i="21"/>
  <c r="D118" i="21"/>
  <c r="J118" i="21"/>
  <c r="D119" i="21"/>
  <c r="J119" i="21"/>
  <c r="E120" i="21"/>
  <c r="E51" i="21" s="1"/>
  <c r="F120" i="21"/>
  <c r="F51" i="21"/>
  <c r="G120" i="21"/>
  <c r="H120" i="21"/>
  <c r="H51" i="21"/>
  <c r="I120" i="21"/>
  <c r="L120" i="21"/>
  <c r="L51" i="21" s="1"/>
  <c r="L52" i="21" s="1"/>
  <c r="M120" i="21"/>
  <c r="M51" i="21" s="1"/>
  <c r="B123" i="21"/>
  <c r="D123" i="21"/>
  <c r="N123" i="21" s="1"/>
  <c r="A124" i="21"/>
  <c r="C124" i="21"/>
  <c r="A125" i="21"/>
  <c r="C125" i="21"/>
  <c r="B126" i="21"/>
  <c r="D126" i="21"/>
  <c r="A127" i="21"/>
  <c r="C127" i="21"/>
  <c r="A128" i="21"/>
  <c r="C128" i="21"/>
  <c r="B129" i="21"/>
  <c r="D129" i="21"/>
  <c r="A130" i="21"/>
  <c r="C130" i="21"/>
  <c r="A131" i="21"/>
  <c r="C131" i="21"/>
  <c r="B132" i="21"/>
  <c r="D132" i="21"/>
  <c r="A133" i="21"/>
  <c r="C133" i="21"/>
  <c r="A134" i="21"/>
  <c r="C134" i="21"/>
  <c r="B135" i="21"/>
  <c r="D135" i="21"/>
  <c r="A136" i="21"/>
  <c r="C136" i="21"/>
  <c r="A137" i="21"/>
  <c r="C137" i="21"/>
  <c r="B138" i="21"/>
  <c r="D138" i="21"/>
  <c r="K138" i="21" s="1"/>
  <c r="A139" i="21"/>
  <c r="C139" i="21"/>
  <c r="A140" i="21"/>
  <c r="C140" i="21"/>
  <c r="B141" i="21"/>
  <c r="D141" i="21"/>
  <c r="A142" i="21"/>
  <c r="C142" i="21"/>
  <c r="A143" i="21"/>
  <c r="C143" i="21"/>
  <c r="B144" i="21"/>
  <c r="D144" i="21"/>
  <c r="A145" i="21"/>
  <c r="C145" i="21"/>
  <c r="A146" i="21"/>
  <c r="C146" i="21"/>
  <c r="B147" i="21"/>
  <c r="D147" i="21"/>
  <c r="A148" i="21"/>
  <c r="C148" i="21"/>
  <c r="A149" i="21"/>
  <c r="C149" i="21"/>
  <c r="B150" i="21"/>
  <c r="D150" i="21"/>
  <c r="A151" i="21"/>
  <c r="C151" i="21"/>
  <c r="A152" i="21"/>
  <c r="C152" i="21"/>
  <c r="E6" i="20"/>
  <c r="F6" i="20"/>
  <c r="G6" i="20"/>
  <c r="H6" i="20"/>
  <c r="I6" i="20"/>
  <c r="L6" i="20"/>
  <c r="M6" i="20"/>
  <c r="B7" i="20"/>
  <c r="D8" i="20"/>
  <c r="J8" i="20"/>
  <c r="D9" i="20"/>
  <c r="J9" i="20"/>
  <c r="D10" i="20"/>
  <c r="J10" i="20"/>
  <c r="D11" i="20"/>
  <c r="J11" i="20"/>
  <c r="B14" i="20"/>
  <c r="D15" i="20"/>
  <c r="J15" i="20"/>
  <c r="D16" i="20"/>
  <c r="J16" i="20"/>
  <c r="D17" i="20"/>
  <c r="J17" i="20"/>
  <c r="K17" i="20" s="1"/>
  <c r="N17" i="20" s="1"/>
  <c r="C18" i="20"/>
  <c r="D18" i="20"/>
  <c r="J18" i="20"/>
  <c r="D19" i="20"/>
  <c r="J19" i="20"/>
  <c r="D20" i="20"/>
  <c r="J20" i="20"/>
  <c r="D21" i="20"/>
  <c r="J21" i="20"/>
  <c r="D22" i="20"/>
  <c r="J22" i="20"/>
  <c r="B27" i="20"/>
  <c r="D28" i="20"/>
  <c r="J28" i="20"/>
  <c r="D29" i="20"/>
  <c r="J29" i="20"/>
  <c r="B32" i="20"/>
  <c r="D33" i="20"/>
  <c r="J33" i="20"/>
  <c r="D34" i="20"/>
  <c r="J34" i="20"/>
  <c r="D35" i="20"/>
  <c r="J35" i="20"/>
  <c r="E36" i="20"/>
  <c r="F36" i="20"/>
  <c r="G36" i="20"/>
  <c r="H36" i="20"/>
  <c r="I36" i="20"/>
  <c r="L36" i="20"/>
  <c r="M36" i="20"/>
  <c r="B37" i="20"/>
  <c r="D38" i="20"/>
  <c r="J38" i="20"/>
  <c r="C39" i="20"/>
  <c r="D39" i="20"/>
  <c r="J39" i="20"/>
  <c r="D40" i="20"/>
  <c r="J40" i="20"/>
  <c r="D41" i="20"/>
  <c r="J41" i="20"/>
  <c r="E42" i="20"/>
  <c r="F42" i="20"/>
  <c r="F80" i="20" s="1"/>
  <c r="G42" i="20"/>
  <c r="H42" i="20"/>
  <c r="H80" i="20" s="1"/>
  <c r="I42" i="20"/>
  <c r="I80" i="20"/>
  <c r="L42" i="20"/>
  <c r="L80" i="20"/>
  <c r="M42" i="20"/>
  <c r="B43" i="20"/>
  <c r="D44" i="20"/>
  <c r="J44" i="20"/>
  <c r="K44" i="20" s="1"/>
  <c r="N44" i="20" s="1"/>
  <c r="D45" i="20"/>
  <c r="J45" i="20"/>
  <c r="D46" i="20"/>
  <c r="J46" i="20"/>
  <c r="D47" i="20"/>
  <c r="J47" i="20"/>
  <c r="L48" i="20"/>
  <c r="D49" i="20"/>
  <c r="J49" i="20"/>
  <c r="J81" i="20"/>
  <c r="D50" i="20"/>
  <c r="J50" i="20"/>
  <c r="D77" i="20"/>
  <c r="M84" i="20" s="1"/>
  <c r="M60" i="20" s="1"/>
  <c r="E81" i="20"/>
  <c r="F81" i="20"/>
  <c r="G81" i="20"/>
  <c r="H81" i="20"/>
  <c r="I81" i="20"/>
  <c r="D83" i="20"/>
  <c r="B85" i="20"/>
  <c r="D86" i="20"/>
  <c r="J86" i="20"/>
  <c r="D87" i="20"/>
  <c r="J87" i="20"/>
  <c r="D88" i="20"/>
  <c r="J88" i="20"/>
  <c r="D89" i="20"/>
  <c r="J89" i="20"/>
  <c r="D90" i="20"/>
  <c r="J90" i="20"/>
  <c r="D91" i="20"/>
  <c r="J91" i="20"/>
  <c r="D92" i="20"/>
  <c r="J92" i="20"/>
  <c r="D93" i="20"/>
  <c r="J93" i="20"/>
  <c r="D94" i="20"/>
  <c r="J94" i="20"/>
  <c r="D95" i="20"/>
  <c r="J95" i="20"/>
  <c r="D96" i="20"/>
  <c r="J96" i="20"/>
  <c r="D97" i="20"/>
  <c r="J97" i="20"/>
  <c r="D98" i="20"/>
  <c r="J98" i="20"/>
  <c r="D99" i="20"/>
  <c r="J99" i="20"/>
  <c r="D100" i="20"/>
  <c r="J100" i="20"/>
  <c r="D101" i="20"/>
  <c r="J101" i="20"/>
  <c r="E102" i="20"/>
  <c r="E12" i="20"/>
  <c r="E13" i="20" s="1"/>
  <c r="E71" i="20" s="1"/>
  <c r="F102" i="20"/>
  <c r="F12" i="20" s="1"/>
  <c r="G102" i="20"/>
  <c r="G12" i="20"/>
  <c r="H102" i="20"/>
  <c r="H12" i="20"/>
  <c r="H13" i="20" s="1"/>
  <c r="H71" i="20" s="1"/>
  <c r="I102" i="20"/>
  <c r="I12" i="20" s="1"/>
  <c r="I13" i="20" s="1"/>
  <c r="L102" i="20"/>
  <c r="L12" i="20"/>
  <c r="M102" i="20"/>
  <c r="M12" i="20" s="1"/>
  <c r="M13" i="20"/>
  <c r="B103" i="20"/>
  <c r="D104" i="20"/>
  <c r="J104" i="20"/>
  <c r="K104" i="20" s="1"/>
  <c r="D105" i="20"/>
  <c r="J105" i="20"/>
  <c r="D106" i="20"/>
  <c r="J106" i="20"/>
  <c r="D107" i="20"/>
  <c r="J107" i="20"/>
  <c r="K107" i="20" s="1"/>
  <c r="N107" i="20" s="1"/>
  <c r="D108" i="20"/>
  <c r="J108" i="20"/>
  <c r="K108" i="20" s="1"/>
  <c r="N108" i="20" s="1"/>
  <c r="E109" i="20"/>
  <c r="E30" i="20"/>
  <c r="E31" i="20" s="1"/>
  <c r="F109" i="20"/>
  <c r="F30" i="20"/>
  <c r="F31" i="20" s="1"/>
  <c r="G109" i="20"/>
  <c r="G30" i="20" s="1"/>
  <c r="H109" i="20"/>
  <c r="H30" i="20" s="1"/>
  <c r="H31" i="20" s="1"/>
  <c r="I109" i="20"/>
  <c r="L109" i="20"/>
  <c r="L30" i="20" s="1"/>
  <c r="L31" i="20" s="1"/>
  <c r="L79" i="20" s="1"/>
  <c r="M109" i="20"/>
  <c r="M30" i="20" s="1"/>
  <c r="M31" i="20" s="1"/>
  <c r="B110" i="20"/>
  <c r="C110" i="20"/>
  <c r="D110" i="20"/>
  <c r="E110" i="20"/>
  <c r="F110" i="20"/>
  <c r="G110" i="20"/>
  <c r="H110" i="20"/>
  <c r="I110" i="20"/>
  <c r="J110" i="20"/>
  <c r="K110" i="20"/>
  <c r="L110" i="20"/>
  <c r="M110" i="20"/>
  <c r="N110" i="20"/>
  <c r="D111" i="20"/>
  <c r="J111" i="20"/>
  <c r="D112" i="20"/>
  <c r="J112" i="20"/>
  <c r="D113" i="20"/>
  <c r="J113" i="20"/>
  <c r="D114" i="20"/>
  <c r="J114" i="20"/>
  <c r="D115" i="20"/>
  <c r="J115" i="20"/>
  <c r="D116" i="20"/>
  <c r="J116" i="20"/>
  <c r="K116" i="20" s="1"/>
  <c r="N116" i="20" s="1"/>
  <c r="D117" i="20"/>
  <c r="J117" i="20"/>
  <c r="D118" i="20"/>
  <c r="J118" i="20"/>
  <c r="D119" i="20"/>
  <c r="J119" i="20"/>
  <c r="E120" i="20"/>
  <c r="E51" i="20" s="1"/>
  <c r="F120" i="20"/>
  <c r="F51" i="20"/>
  <c r="G120" i="20"/>
  <c r="G51" i="20" s="1"/>
  <c r="H120" i="20"/>
  <c r="H51" i="20" s="1"/>
  <c r="I120" i="20"/>
  <c r="I51" i="20" s="1"/>
  <c r="L120" i="20"/>
  <c r="L51" i="20" s="1"/>
  <c r="M120" i="20"/>
  <c r="M51" i="20" s="1"/>
  <c r="B121" i="20"/>
  <c r="B123" i="20"/>
  <c r="C123" i="20"/>
  <c r="C123" i="21" s="1"/>
  <c r="D123" i="20"/>
  <c r="N123" i="20"/>
  <c r="A124" i="20"/>
  <c r="C124" i="20"/>
  <c r="A125" i="20"/>
  <c r="C125" i="20"/>
  <c r="B126" i="20"/>
  <c r="C126" i="20"/>
  <c r="C126" i="21"/>
  <c r="D126" i="20"/>
  <c r="A127" i="20"/>
  <c r="C127" i="20"/>
  <c r="A128" i="20"/>
  <c r="C128" i="20"/>
  <c r="B129" i="20"/>
  <c r="C129" i="20"/>
  <c r="C129" i="21" s="1"/>
  <c r="D129" i="20"/>
  <c r="A130" i="20"/>
  <c r="C130" i="20"/>
  <c r="A131" i="20"/>
  <c r="C131" i="20"/>
  <c r="B132" i="20"/>
  <c r="C132" i="20"/>
  <c r="C132" i="21" s="1"/>
  <c r="D132" i="20"/>
  <c r="A133" i="20"/>
  <c r="C133" i="20"/>
  <c r="A134" i="20"/>
  <c r="C134" i="20"/>
  <c r="B135" i="20"/>
  <c r="C135" i="20"/>
  <c r="C135" i="21" s="1"/>
  <c r="D135" i="20"/>
  <c r="K135" i="20" s="1"/>
  <c r="A136" i="20"/>
  <c r="C136" i="20"/>
  <c r="A137" i="20"/>
  <c r="C137" i="20"/>
  <c r="B138" i="20"/>
  <c r="C138" i="20"/>
  <c r="C138" i="21" s="1"/>
  <c r="D138" i="20"/>
  <c r="A139" i="20"/>
  <c r="C139" i="20"/>
  <c r="A140" i="20"/>
  <c r="C140" i="20"/>
  <c r="B141" i="20"/>
  <c r="C141" i="20"/>
  <c r="C141" i="21" s="1"/>
  <c r="D141" i="20"/>
  <c r="A142" i="20"/>
  <c r="C142" i="20"/>
  <c r="A143" i="20"/>
  <c r="C143" i="20"/>
  <c r="B144" i="20"/>
  <c r="C144" i="20"/>
  <c r="C144" i="21" s="1"/>
  <c r="D144" i="20"/>
  <c r="A145" i="20"/>
  <c r="C145" i="20"/>
  <c r="A146" i="20"/>
  <c r="C146" i="20"/>
  <c r="B147" i="20"/>
  <c r="C147" i="20"/>
  <c r="C147" i="21" s="1"/>
  <c r="D147" i="20"/>
  <c r="N147" i="20" s="1"/>
  <c r="A148" i="20"/>
  <c r="C148" i="20"/>
  <c r="A149" i="20"/>
  <c r="C149" i="20"/>
  <c r="B150" i="20"/>
  <c r="C150" i="20"/>
  <c r="C150" i="21" s="1"/>
  <c r="D150" i="20"/>
  <c r="A151" i="20"/>
  <c r="C151" i="20"/>
  <c r="A152" i="20"/>
  <c r="C152" i="20"/>
  <c r="E6" i="19"/>
  <c r="F6" i="19"/>
  <c r="G6" i="19"/>
  <c r="H6" i="19"/>
  <c r="I6" i="19"/>
  <c r="J6" i="19"/>
  <c r="L6" i="19"/>
  <c r="M6" i="19"/>
  <c r="B7" i="19"/>
  <c r="D8" i="19"/>
  <c r="J8" i="19"/>
  <c r="D9" i="19"/>
  <c r="J9" i="19"/>
  <c r="D10" i="19"/>
  <c r="J10" i="19"/>
  <c r="D11" i="19"/>
  <c r="J11" i="19"/>
  <c r="B14" i="19"/>
  <c r="D15" i="19"/>
  <c r="J15" i="19"/>
  <c r="D16" i="19"/>
  <c r="J16" i="19"/>
  <c r="K16" i="19" s="1"/>
  <c r="N16" i="19" s="1"/>
  <c r="D17" i="19"/>
  <c r="J17" i="19"/>
  <c r="C18" i="19"/>
  <c r="D18" i="19"/>
  <c r="J18" i="19"/>
  <c r="C19" i="19"/>
  <c r="D19" i="19"/>
  <c r="J19" i="19"/>
  <c r="D20" i="19"/>
  <c r="J20" i="19"/>
  <c r="D21" i="19"/>
  <c r="J21" i="19"/>
  <c r="D22" i="19"/>
  <c r="J22" i="19"/>
  <c r="B27" i="19"/>
  <c r="D28" i="19"/>
  <c r="J28" i="19"/>
  <c r="D29" i="19"/>
  <c r="J29" i="19"/>
  <c r="A30" i="19"/>
  <c r="A30" i="20" s="1"/>
  <c r="A30" i="21" s="1"/>
  <c r="B32" i="19"/>
  <c r="D33" i="19"/>
  <c r="J33" i="19"/>
  <c r="D34" i="19"/>
  <c r="J34" i="19"/>
  <c r="D35" i="19"/>
  <c r="J35" i="19"/>
  <c r="E36" i="19"/>
  <c r="F36" i="19"/>
  <c r="G36" i="19"/>
  <c r="H36" i="19"/>
  <c r="I36" i="19"/>
  <c r="L36" i="19"/>
  <c r="M36" i="19"/>
  <c r="B37" i="19"/>
  <c r="C38" i="19"/>
  <c r="D38" i="19"/>
  <c r="J38" i="19"/>
  <c r="C39" i="19"/>
  <c r="D39" i="19"/>
  <c r="J39" i="19"/>
  <c r="C40" i="19"/>
  <c r="D40" i="19"/>
  <c r="J40" i="19"/>
  <c r="C41" i="19"/>
  <c r="D41" i="19"/>
  <c r="J41" i="19"/>
  <c r="E42" i="19"/>
  <c r="F42" i="19"/>
  <c r="G42" i="19"/>
  <c r="G80" i="19" s="1"/>
  <c r="H42" i="19"/>
  <c r="H80" i="19" s="1"/>
  <c r="I42" i="19"/>
  <c r="I80" i="19"/>
  <c r="L42" i="19"/>
  <c r="L80" i="19"/>
  <c r="M42" i="19"/>
  <c r="B43" i="19"/>
  <c r="D44" i="19"/>
  <c r="J44" i="19"/>
  <c r="D45" i="19"/>
  <c r="J45" i="19"/>
  <c r="D46" i="19"/>
  <c r="J46" i="19"/>
  <c r="D47" i="19"/>
  <c r="J47" i="19"/>
  <c r="L48" i="19"/>
  <c r="D49" i="19"/>
  <c r="J49" i="19"/>
  <c r="J81" i="19"/>
  <c r="D50" i="19"/>
  <c r="J50" i="19"/>
  <c r="D77" i="19"/>
  <c r="M84" i="19" s="1"/>
  <c r="M60" i="19" s="1"/>
  <c r="E81" i="19"/>
  <c r="F81" i="19"/>
  <c r="G81" i="19"/>
  <c r="H81" i="19"/>
  <c r="I81" i="19"/>
  <c r="D83" i="19"/>
  <c r="J83" i="19"/>
  <c r="B85" i="19"/>
  <c r="D86" i="19"/>
  <c r="J86" i="19"/>
  <c r="D87" i="19"/>
  <c r="J87" i="19"/>
  <c r="D88" i="19"/>
  <c r="J88" i="19"/>
  <c r="K88" i="19" s="1"/>
  <c r="N88" i="19" s="1"/>
  <c r="D89" i="19"/>
  <c r="J89" i="19"/>
  <c r="D90" i="19"/>
  <c r="J90" i="19"/>
  <c r="K90" i="19" s="1"/>
  <c r="N90" i="19" s="1"/>
  <c r="D91" i="19"/>
  <c r="J91" i="19"/>
  <c r="D92" i="19"/>
  <c r="J92" i="19"/>
  <c r="K92" i="19" s="1"/>
  <c r="D93" i="19"/>
  <c r="J93" i="19"/>
  <c r="D94" i="19"/>
  <c r="J94" i="19"/>
  <c r="D95" i="19"/>
  <c r="J95" i="19"/>
  <c r="D96" i="19"/>
  <c r="J96" i="19"/>
  <c r="D97" i="19"/>
  <c r="J97" i="19"/>
  <c r="D98" i="19"/>
  <c r="J98" i="19"/>
  <c r="D99" i="19"/>
  <c r="J99" i="19"/>
  <c r="D100" i="19"/>
  <c r="J100" i="19"/>
  <c r="D101" i="19"/>
  <c r="J101" i="19"/>
  <c r="E102" i="19"/>
  <c r="E12" i="19" s="1"/>
  <c r="F102" i="19"/>
  <c r="F12" i="19" s="1"/>
  <c r="G102" i="19"/>
  <c r="G12" i="19" s="1"/>
  <c r="G13" i="19" s="1"/>
  <c r="H102" i="19"/>
  <c r="H12" i="19" s="1"/>
  <c r="H13" i="19" s="1"/>
  <c r="I102" i="19"/>
  <c r="I12" i="19" s="1"/>
  <c r="I13" i="19" s="1"/>
  <c r="I23" i="19" s="1"/>
  <c r="L102" i="19"/>
  <c r="L12" i="19" s="1"/>
  <c r="L13" i="19" s="1"/>
  <c r="M102" i="19"/>
  <c r="M12" i="19" s="1"/>
  <c r="M13" i="19" s="1"/>
  <c r="B103" i="19"/>
  <c r="D104" i="19"/>
  <c r="J104" i="19"/>
  <c r="D105" i="19"/>
  <c r="J105" i="19"/>
  <c r="D106" i="19"/>
  <c r="J106" i="19"/>
  <c r="D107" i="19"/>
  <c r="J107" i="19"/>
  <c r="D108" i="19"/>
  <c r="J108" i="19"/>
  <c r="E109" i="19"/>
  <c r="E30" i="19" s="1"/>
  <c r="E31" i="19" s="1"/>
  <c r="F109" i="19"/>
  <c r="F30" i="19" s="1"/>
  <c r="F31" i="19" s="1"/>
  <c r="G109" i="19"/>
  <c r="G30" i="19"/>
  <c r="H109" i="19"/>
  <c r="H30" i="19" s="1"/>
  <c r="H31" i="19" s="1"/>
  <c r="H79" i="19" s="1"/>
  <c r="I109" i="19"/>
  <c r="I30" i="19" s="1"/>
  <c r="I31" i="19" s="1"/>
  <c r="I79" i="19" s="1"/>
  <c r="L109" i="19"/>
  <c r="L30" i="19" s="1"/>
  <c r="L31" i="19" s="1"/>
  <c r="M109" i="19"/>
  <c r="M30" i="19" s="1"/>
  <c r="M31" i="19" s="1"/>
  <c r="B110" i="19"/>
  <c r="C110" i="19"/>
  <c r="D110" i="19"/>
  <c r="E110" i="19"/>
  <c r="F110" i="19"/>
  <c r="G110" i="19"/>
  <c r="H110" i="19"/>
  <c r="I110" i="19"/>
  <c r="J110" i="19"/>
  <c r="K110" i="19"/>
  <c r="L110" i="19"/>
  <c r="M110" i="19"/>
  <c r="N110" i="19"/>
  <c r="D111" i="19"/>
  <c r="J111" i="19"/>
  <c r="D112" i="19"/>
  <c r="J112" i="19"/>
  <c r="D113" i="19"/>
  <c r="J113" i="19"/>
  <c r="D114" i="19"/>
  <c r="J114" i="19"/>
  <c r="D115" i="19"/>
  <c r="J115" i="19"/>
  <c r="D116" i="19"/>
  <c r="J116" i="19"/>
  <c r="D117" i="19"/>
  <c r="J117" i="19"/>
  <c r="D118" i="19"/>
  <c r="J118" i="19"/>
  <c r="D119" i="19"/>
  <c r="J119" i="19"/>
  <c r="E120" i="19"/>
  <c r="E51" i="19" s="1"/>
  <c r="F120" i="19"/>
  <c r="F51" i="19" s="1"/>
  <c r="G120" i="19"/>
  <c r="G51" i="19" s="1"/>
  <c r="H120" i="19"/>
  <c r="H51" i="19" s="1"/>
  <c r="I120" i="19"/>
  <c r="I51" i="19"/>
  <c r="L120" i="19"/>
  <c r="L51" i="19"/>
  <c r="L52" i="19"/>
  <c r="M120" i="19"/>
  <c r="M51" i="19" s="1"/>
  <c r="B121" i="19"/>
  <c r="B123" i="19"/>
  <c r="C123" i="19"/>
  <c r="D123" i="19"/>
  <c r="A124" i="19"/>
  <c r="C124" i="19"/>
  <c r="A125" i="19"/>
  <c r="C125" i="19"/>
  <c r="B126" i="19"/>
  <c r="C126" i="19"/>
  <c r="D126" i="19"/>
  <c r="N126" i="19"/>
  <c r="A127" i="19"/>
  <c r="C127" i="19"/>
  <c r="A128" i="19"/>
  <c r="C128" i="19"/>
  <c r="B129" i="19"/>
  <c r="C129" i="19"/>
  <c r="D129" i="19"/>
  <c r="N129" i="19"/>
  <c r="A130" i="19"/>
  <c r="C130" i="19"/>
  <c r="A131" i="19"/>
  <c r="C131" i="19"/>
  <c r="B132" i="19"/>
  <c r="C132" i="19"/>
  <c r="D132" i="19"/>
  <c r="N132" i="19"/>
  <c r="A133" i="19"/>
  <c r="C133" i="19"/>
  <c r="A134" i="19"/>
  <c r="C134" i="19"/>
  <c r="B135" i="19"/>
  <c r="C135" i="19"/>
  <c r="D135" i="19"/>
  <c r="A136" i="19"/>
  <c r="C136" i="19"/>
  <c r="A137" i="19"/>
  <c r="C137" i="19"/>
  <c r="B138" i="19"/>
  <c r="C138" i="19"/>
  <c r="D138" i="19"/>
  <c r="N138" i="19" s="1"/>
  <c r="A139" i="19"/>
  <c r="C139" i="19"/>
  <c r="A140" i="19"/>
  <c r="C140" i="19"/>
  <c r="B141" i="19"/>
  <c r="C141" i="19"/>
  <c r="D141" i="19"/>
  <c r="A142" i="19"/>
  <c r="C142" i="19"/>
  <c r="A143" i="19"/>
  <c r="C143" i="19"/>
  <c r="B144" i="19"/>
  <c r="C144" i="19"/>
  <c r="D144" i="19"/>
  <c r="A145" i="19"/>
  <c r="C145" i="19"/>
  <c r="A146" i="19"/>
  <c r="C146" i="19"/>
  <c r="B147" i="19"/>
  <c r="C147" i="19"/>
  <c r="D147" i="19"/>
  <c r="A148" i="19"/>
  <c r="C148" i="19"/>
  <c r="A149" i="19"/>
  <c r="C149" i="19"/>
  <c r="B150" i="19"/>
  <c r="C150" i="19"/>
  <c r="D150" i="19"/>
  <c r="K150" i="19" s="1"/>
  <c r="A151" i="19"/>
  <c r="C151" i="19"/>
  <c r="A152" i="19"/>
  <c r="C152" i="19"/>
  <c r="E6" i="18"/>
  <c r="F6" i="18"/>
  <c r="G6" i="18"/>
  <c r="H6" i="18"/>
  <c r="I6" i="18"/>
  <c r="L6" i="18"/>
  <c r="M6" i="18"/>
  <c r="A7" i="18"/>
  <c r="A7" i="19" s="1"/>
  <c r="A7" i="20" s="1"/>
  <c r="A7" i="21" s="1"/>
  <c r="B7" i="18"/>
  <c r="D8" i="18"/>
  <c r="J8" i="18"/>
  <c r="D9" i="18"/>
  <c r="J9" i="18"/>
  <c r="D10" i="18"/>
  <c r="J10" i="18"/>
  <c r="D11" i="18"/>
  <c r="J11" i="18"/>
  <c r="K11" i="18" s="1"/>
  <c r="N11" i="18" s="1"/>
  <c r="A12" i="18"/>
  <c r="A12" i="19" s="1"/>
  <c r="A12" i="20" s="1"/>
  <c r="A12" i="21" s="1"/>
  <c r="A13" i="18"/>
  <c r="A13" i="19" s="1"/>
  <c r="A13" i="20" s="1"/>
  <c r="A13" i="21" s="1"/>
  <c r="A14" i="18"/>
  <c r="A14" i="19" s="1"/>
  <c r="A14" i="20" s="1"/>
  <c r="A14" i="21" s="1"/>
  <c r="B14" i="18"/>
  <c r="D15" i="18"/>
  <c r="J15" i="18"/>
  <c r="D16" i="18"/>
  <c r="J16" i="18"/>
  <c r="D17" i="18"/>
  <c r="J17" i="18"/>
  <c r="C18" i="18"/>
  <c r="D18" i="18"/>
  <c r="J18" i="18"/>
  <c r="C19" i="18"/>
  <c r="D19" i="18"/>
  <c r="J19" i="18"/>
  <c r="C20" i="18"/>
  <c r="D20" i="18"/>
  <c r="J20" i="18"/>
  <c r="D21" i="18"/>
  <c r="J21" i="18"/>
  <c r="B22" i="18"/>
  <c r="B22" i="19" s="1"/>
  <c r="B22" i="20" s="1"/>
  <c r="B22" i="21" s="1"/>
  <c r="D22" i="18"/>
  <c r="J22" i="18"/>
  <c r="B24" i="18"/>
  <c r="B24" i="19"/>
  <c r="B24" i="20" s="1"/>
  <c r="B24" i="21" s="1"/>
  <c r="B25" i="18"/>
  <c r="B25" i="19" s="1"/>
  <c r="B25" i="20" s="1"/>
  <c r="B25" i="21" s="1"/>
  <c r="B27" i="18"/>
  <c r="D28" i="18"/>
  <c r="J28" i="18"/>
  <c r="D29" i="18"/>
  <c r="J29" i="18"/>
  <c r="B32" i="18"/>
  <c r="D33" i="18"/>
  <c r="J33" i="18"/>
  <c r="D34" i="18"/>
  <c r="J34" i="18"/>
  <c r="D35" i="18"/>
  <c r="J35" i="18"/>
  <c r="E36" i="18"/>
  <c r="F36" i="18"/>
  <c r="G36" i="18"/>
  <c r="H36" i="18"/>
  <c r="I36" i="18"/>
  <c r="L36" i="18"/>
  <c r="M36" i="18"/>
  <c r="B37" i="18"/>
  <c r="D38" i="18"/>
  <c r="J38" i="18"/>
  <c r="C39" i="18"/>
  <c r="D39" i="18"/>
  <c r="J39" i="18"/>
  <c r="D40" i="18"/>
  <c r="J40" i="18"/>
  <c r="D41" i="18"/>
  <c r="J41" i="18"/>
  <c r="E42" i="18"/>
  <c r="F42" i="18"/>
  <c r="G42" i="18"/>
  <c r="H42" i="18"/>
  <c r="I42" i="18"/>
  <c r="L42" i="18"/>
  <c r="L80" i="18" s="1"/>
  <c r="M42" i="18"/>
  <c r="B43" i="18"/>
  <c r="D44" i="18"/>
  <c r="J44" i="18"/>
  <c r="D45" i="18"/>
  <c r="J45" i="18"/>
  <c r="D46" i="18"/>
  <c r="J46" i="18"/>
  <c r="D47" i="18"/>
  <c r="J47" i="18"/>
  <c r="D49" i="18"/>
  <c r="J49" i="18"/>
  <c r="D50" i="18"/>
  <c r="J50" i="18"/>
  <c r="A51" i="18"/>
  <c r="A51" i="19" s="1"/>
  <c r="A51" i="20" s="1"/>
  <c r="A51" i="21" s="1"/>
  <c r="B51" i="18"/>
  <c r="B51" i="19" s="1"/>
  <c r="B51" i="20" s="1"/>
  <c r="B51" i="21" s="1"/>
  <c r="A52" i="18"/>
  <c r="A52" i="19" s="1"/>
  <c r="A52" i="20" s="1"/>
  <c r="A52" i="21" s="1"/>
  <c r="A53" i="18"/>
  <c r="A53" i="19" s="1"/>
  <c r="A53" i="20" s="1"/>
  <c r="A53" i="21" s="1"/>
  <c r="A54" i="18"/>
  <c r="A54" i="19" s="1"/>
  <c r="A54" i="20" s="1"/>
  <c r="A54" i="21" s="1"/>
  <c r="B54" i="18"/>
  <c r="B54" i="19" s="1"/>
  <c r="B54" i="20" s="1"/>
  <c r="B54" i="21" s="1"/>
  <c r="A55" i="19"/>
  <c r="A55" i="20" s="1"/>
  <c r="A55" i="21" s="1"/>
  <c r="A57" i="20"/>
  <c r="A58" i="20"/>
  <c r="A62" i="20"/>
  <c r="A62" i="21" s="1"/>
  <c r="A63" i="18"/>
  <c r="A63" i="19" s="1"/>
  <c r="A63" i="20" s="1"/>
  <c r="A63" i="21" s="1"/>
  <c r="A64" i="18"/>
  <c r="A64" i="19" s="1"/>
  <c r="A64" i="20" s="1"/>
  <c r="A64" i="21" s="1"/>
  <c r="A65" i="18"/>
  <c r="A65" i="19" s="1"/>
  <c r="A65" i="20" s="1"/>
  <c r="A65" i="21" s="1"/>
  <c r="A66" i="18"/>
  <c r="A66" i="19" s="1"/>
  <c r="A66" i="20" s="1"/>
  <c r="A66" i="21" s="1"/>
  <c r="A67" i="18"/>
  <c r="A67" i="19" s="1"/>
  <c r="A67" i="20" s="1"/>
  <c r="A67" i="21" s="1"/>
  <c r="L67" i="18"/>
  <c r="A68" i="18"/>
  <c r="A68" i="19" s="1"/>
  <c r="A68" i="20" s="1"/>
  <c r="A68" i="21" s="1"/>
  <c r="B68" i="18"/>
  <c r="B68" i="19" s="1"/>
  <c r="B68" i="20" s="1"/>
  <c r="B68" i="21" s="1"/>
  <c r="A69" i="18"/>
  <c r="A69" i="19" s="1"/>
  <c r="A69" i="20" s="1"/>
  <c r="A69" i="21" s="1"/>
  <c r="B69" i="18"/>
  <c r="B69" i="19" s="1"/>
  <c r="B69" i="20" s="1"/>
  <c r="B69" i="21" s="1"/>
  <c r="A70" i="18"/>
  <c r="A70" i="19"/>
  <c r="A70" i="20" s="1"/>
  <c r="A70" i="21" s="1"/>
  <c r="A71" i="18"/>
  <c r="A71" i="19" s="1"/>
  <c r="A71" i="20" s="1"/>
  <c r="A71" i="21" s="1"/>
  <c r="A72" i="18"/>
  <c r="A72" i="19" s="1"/>
  <c r="A72" i="20" s="1"/>
  <c r="A72" i="21" s="1"/>
  <c r="A73" i="18"/>
  <c r="A73" i="19" s="1"/>
  <c r="A73" i="20" s="1"/>
  <c r="A73" i="21" s="1"/>
  <c r="A74" i="18"/>
  <c r="A74" i="19" s="1"/>
  <c r="A74" i="20" s="1"/>
  <c r="A74" i="21" s="1"/>
  <c r="A75" i="18"/>
  <c r="A75" i="19" s="1"/>
  <c r="A75" i="20" s="1"/>
  <c r="A75" i="21" s="1"/>
  <c r="A76" i="18"/>
  <c r="A76" i="19" s="1"/>
  <c r="A76" i="20" s="1"/>
  <c r="A76" i="21" s="1"/>
  <c r="A77" i="18"/>
  <c r="A77" i="19" s="1"/>
  <c r="A77" i="20" s="1"/>
  <c r="A77" i="21" s="1"/>
  <c r="A78" i="18"/>
  <c r="A78" i="19" s="1"/>
  <c r="A78" i="20" s="1"/>
  <c r="A78" i="21" s="1"/>
  <c r="A79" i="18"/>
  <c r="A79" i="19" s="1"/>
  <c r="A79" i="20" s="1"/>
  <c r="A79" i="21" s="1"/>
  <c r="A80" i="18"/>
  <c r="A80" i="19"/>
  <c r="A80" i="20" s="1"/>
  <c r="A80" i="21" s="1"/>
  <c r="A81" i="18"/>
  <c r="A81" i="19" s="1"/>
  <c r="A81" i="20" s="1"/>
  <c r="A81" i="21" s="1"/>
  <c r="E81" i="18"/>
  <c r="F81" i="18"/>
  <c r="G81" i="18"/>
  <c r="H81" i="18"/>
  <c r="I81" i="18"/>
  <c r="J81" i="18"/>
  <c r="A82" i="18"/>
  <c r="A82" i="19" s="1"/>
  <c r="A82" i="20" s="1"/>
  <c r="A82" i="21" s="1"/>
  <c r="A83" i="18"/>
  <c r="A83" i="19"/>
  <c r="A83" i="20" s="1"/>
  <c r="A83" i="21" s="1"/>
  <c r="D83" i="18"/>
  <c r="J83" i="18"/>
  <c r="A84" i="18"/>
  <c r="A84" i="19" s="1"/>
  <c r="A84" i="20" s="1"/>
  <c r="A84" i="21" s="1"/>
  <c r="A85" i="18"/>
  <c r="A85" i="19" s="1"/>
  <c r="A85" i="20" s="1"/>
  <c r="A85" i="21" s="1"/>
  <c r="B85" i="18"/>
  <c r="D86" i="18"/>
  <c r="J86" i="18"/>
  <c r="D87" i="18"/>
  <c r="J87" i="18"/>
  <c r="D88" i="18"/>
  <c r="J88" i="18"/>
  <c r="D89" i="18"/>
  <c r="J89" i="18"/>
  <c r="D90" i="18"/>
  <c r="J90" i="18"/>
  <c r="D91" i="18"/>
  <c r="J91" i="18"/>
  <c r="D92" i="18"/>
  <c r="J92" i="18"/>
  <c r="D93" i="18"/>
  <c r="J93" i="18"/>
  <c r="D94" i="18"/>
  <c r="J94" i="18"/>
  <c r="D95" i="18"/>
  <c r="J95" i="18"/>
  <c r="D96" i="18"/>
  <c r="J96" i="18"/>
  <c r="D97" i="18"/>
  <c r="J97" i="18"/>
  <c r="D98" i="18"/>
  <c r="J98" i="18"/>
  <c r="D99" i="18"/>
  <c r="J99" i="18"/>
  <c r="D100" i="18"/>
  <c r="J100" i="18"/>
  <c r="D101" i="18"/>
  <c r="J101" i="18"/>
  <c r="A102" i="18"/>
  <c r="A102" i="19" s="1"/>
  <c r="A102" i="20" s="1"/>
  <c r="A102" i="21" s="1"/>
  <c r="E102" i="18"/>
  <c r="E12" i="18" s="1"/>
  <c r="F102" i="18"/>
  <c r="F12" i="18" s="1"/>
  <c r="F13" i="18" s="1"/>
  <c r="G102" i="18"/>
  <c r="G12" i="18" s="1"/>
  <c r="G13" i="18" s="1"/>
  <c r="H102" i="18"/>
  <c r="H12" i="18" s="1"/>
  <c r="H13" i="18" s="1"/>
  <c r="H23" i="18" s="1"/>
  <c r="I102" i="18"/>
  <c r="I12" i="18" s="1"/>
  <c r="I13" i="18" s="1"/>
  <c r="L102" i="18"/>
  <c r="L12" i="18" s="1"/>
  <c r="L13" i="18" s="1"/>
  <c r="M102" i="18"/>
  <c r="M12" i="18" s="1"/>
  <c r="A103" i="18"/>
  <c r="A103" i="19" s="1"/>
  <c r="A103" i="20" s="1"/>
  <c r="A103" i="21" s="1"/>
  <c r="B103" i="18"/>
  <c r="D104" i="18"/>
  <c r="J104" i="18"/>
  <c r="D105" i="18"/>
  <c r="J105" i="18"/>
  <c r="D106" i="18"/>
  <c r="J106" i="18"/>
  <c r="D107" i="18"/>
  <c r="J107" i="18"/>
  <c r="D108" i="18"/>
  <c r="J108" i="18"/>
  <c r="A109" i="18"/>
  <c r="A109" i="19" s="1"/>
  <c r="A109" i="20" s="1"/>
  <c r="A109" i="21" s="1"/>
  <c r="E109" i="18"/>
  <c r="E30" i="18"/>
  <c r="E31" i="18" s="1"/>
  <c r="F109" i="18"/>
  <c r="G109" i="18"/>
  <c r="G30" i="18"/>
  <c r="G31" i="18" s="1"/>
  <c r="G79" i="18" s="1"/>
  <c r="H109" i="18"/>
  <c r="I109" i="18"/>
  <c r="L109" i="18"/>
  <c r="L30" i="18"/>
  <c r="L31" i="18" s="1"/>
  <c r="L79" i="18" s="1"/>
  <c r="M109" i="18"/>
  <c r="M30" i="18" s="1"/>
  <c r="M31" i="18" s="1"/>
  <c r="A110" i="18"/>
  <c r="A110" i="19" s="1"/>
  <c r="A110" i="20" s="1"/>
  <c r="A110" i="21" s="1"/>
  <c r="B110" i="18"/>
  <c r="C110" i="18"/>
  <c r="D110" i="18"/>
  <c r="E110" i="18"/>
  <c r="F110" i="18"/>
  <c r="G110" i="18"/>
  <c r="H110" i="18"/>
  <c r="I110" i="18"/>
  <c r="J110" i="18"/>
  <c r="K110" i="18"/>
  <c r="L110" i="18"/>
  <c r="M110" i="18"/>
  <c r="N110" i="18"/>
  <c r="J111" i="18"/>
  <c r="J112" i="18"/>
  <c r="J113" i="18"/>
  <c r="D114" i="18"/>
  <c r="J114" i="18"/>
  <c r="D115" i="18"/>
  <c r="J115" i="18"/>
  <c r="D116" i="18"/>
  <c r="J116" i="18"/>
  <c r="D117" i="18"/>
  <c r="J117" i="18"/>
  <c r="D118" i="18"/>
  <c r="J118" i="18"/>
  <c r="K118" i="18" s="1"/>
  <c r="N118" i="18" s="1"/>
  <c r="D119" i="18"/>
  <c r="J119" i="18"/>
  <c r="A120" i="18"/>
  <c r="A120" i="19" s="1"/>
  <c r="A120" i="20" s="1"/>
  <c r="A120" i="21" s="1"/>
  <c r="E120" i="18"/>
  <c r="E51" i="18" s="1"/>
  <c r="F120" i="18"/>
  <c r="G120" i="18"/>
  <c r="G51" i="18"/>
  <c r="H120" i="18"/>
  <c r="H51" i="18"/>
  <c r="I120" i="18"/>
  <c r="I51" i="18" s="1"/>
  <c r="L120" i="18"/>
  <c r="M120" i="18"/>
  <c r="M51" i="18" s="1"/>
  <c r="M52" i="18" s="1"/>
  <c r="B121" i="18"/>
  <c r="B123" i="18"/>
  <c r="C123" i="18"/>
  <c r="D123" i="18"/>
  <c r="A124" i="18"/>
  <c r="C124" i="18"/>
  <c r="A125" i="18"/>
  <c r="C125" i="18"/>
  <c r="B126" i="18"/>
  <c r="D126" i="18"/>
  <c r="A127" i="18"/>
  <c r="C127" i="18"/>
  <c r="A128" i="18"/>
  <c r="C128" i="18"/>
  <c r="B129" i="18"/>
  <c r="D129" i="18"/>
  <c r="K129" i="18"/>
  <c r="A130" i="18"/>
  <c r="C130" i="18"/>
  <c r="A131" i="18"/>
  <c r="C131" i="18"/>
  <c r="B132" i="18"/>
  <c r="D132" i="18"/>
  <c r="A133" i="18"/>
  <c r="C133" i="18"/>
  <c r="A134" i="18"/>
  <c r="C134" i="18"/>
  <c r="B135" i="18"/>
  <c r="D135" i="18"/>
  <c r="A136" i="18"/>
  <c r="C136" i="18"/>
  <c r="A137" i="18"/>
  <c r="C137" i="18"/>
  <c r="B138" i="18"/>
  <c r="D138" i="18"/>
  <c r="A139" i="18"/>
  <c r="C139" i="18"/>
  <c r="A140" i="18"/>
  <c r="C140" i="18"/>
  <c r="B141" i="18"/>
  <c r="D141" i="18"/>
  <c r="K141" i="18" s="1"/>
  <c r="A142" i="18"/>
  <c r="C142" i="18"/>
  <c r="A143" i="18"/>
  <c r="C143" i="18"/>
  <c r="B144" i="18"/>
  <c r="D144" i="18"/>
  <c r="A145" i="18"/>
  <c r="C145" i="18"/>
  <c r="A146" i="18"/>
  <c r="C146" i="18"/>
  <c r="B147" i="18"/>
  <c r="D147" i="18"/>
  <c r="A148" i="18"/>
  <c r="C148" i="18"/>
  <c r="A149" i="18"/>
  <c r="C149" i="18"/>
  <c r="B150" i="18"/>
  <c r="D150" i="18"/>
  <c r="A151" i="18"/>
  <c r="C151" i="18"/>
  <c r="A152" i="18"/>
  <c r="C152" i="18"/>
  <c r="A8" i="4"/>
  <c r="B8" i="4"/>
  <c r="B8" i="18" s="1"/>
  <c r="B8" i="19" s="1"/>
  <c r="B8" i="20" s="1"/>
  <c r="B8" i="21" s="1"/>
  <c r="C8" i="4"/>
  <c r="C8" i="20" s="1"/>
  <c r="D8" i="4"/>
  <c r="J8" i="4"/>
  <c r="A9" i="4"/>
  <c r="X73" i="4"/>
  <c r="B9" i="4"/>
  <c r="B9" i="18" s="1"/>
  <c r="B9" i="19" s="1"/>
  <c r="B9" i="20" s="1"/>
  <c r="B9" i="21" s="1"/>
  <c r="C9" i="4"/>
  <c r="D9" i="4"/>
  <c r="J9" i="4"/>
  <c r="A10" i="4"/>
  <c r="W74" i="4" s="1"/>
  <c r="B10" i="4"/>
  <c r="B10" i="18" s="1"/>
  <c r="B10" i="19" s="1"/>
  <c r="B10" i="20" s="1"/>
  <c r="B10" i="21" s="1"/>
  <c r="C10" i="4"/>
  <c r="D10" i="4"/>
  <c r="J10" i="4"/>
  <c r="A11" i="4"/>
  <c r="A11" i="18" s="1"/>
  <c r="B11" i="4"/>
  <c r="C11" i="4"/>
  <c r="C11" i="21" s="1"/>
  <c r="D11" i="4"/>
  <c r="J11" i="4"/>
  <c r="A15" i="4"/>
  <c r="B15" i="4"/>
  <c r="B15" i="18" s="1"/>
  <c r="B15" i="19" s="1"/>
  <c r="B15" i="20" s="1"/>
  <c r="B15" i="21" s="1"/>
  <c r="D15" i="4"/>
  <c r="O15" i="19" s="1"/>
  <c r="J15" i="4"/>
  <c r="A16" i="4"/>
  <c r="A16" i="18" s="1"/>
  <c r="A16" i="19" s="1"/>
  <c r="A16" i="20" s="1"/>
  <c r="A16" i="21" s="1"/>
  <c r="B16" i="4"/>
  <c r="B16" i="18" s="1"/>
  <c r="B16" i="19" s="1"/>
  <c r="B16" i="20" s="1"/>
  <c r="B16" i="21" s="1"/>
  <c r="D16" i="4"/>
  <c r="J16" i="4"/>
  <c r="A17" i="4"/>
  <c r="B17" i="4"/>
  <c r="B17" i="25" s="1"/>
  <c r="D17" i="4"/>
  <c r="J17" i="4"/>
  <c r="A18" i="4"/>
  <c r="A18" i="25" s="1"/>
  <c r="B18" i="4"/>
  <c r="B18" i="25" s="1"/>
  <c r="D18" i="4"/>
  <c r="J18" i="4"/>
  <c r="A19" i="4"/>
  <c r="A19" i="25" s="1"/>
  <c r="B19" i="4"/>
  <c r="B19" i="18" s="1"/>
  <c r="B19" i="19" s="1"/>
  <c r="B19" i="20" s="1"/>
  <c r="B19" i="21" s="1"/>
  <c r="D19" i="4"/>
  <c r="J19" i="4"/>
  <c r="A20" i="4"/>
  <c r="A20" i="18" s="1"/>
  <c r="A20" i="19" s="1"/>
  <c r="A20" i="20" s="1"/>
  <c r="A20" i="21" s="1"/>
  <c r="B20" i="4"/>
  <c r="B20" i="18" s="1"/>
  <c r="B20" i="19" s="1"/>
  <c r="B20" i="20" s="1"/>
  <c r="B20" i="21" s="1"/>
  <c r="D20" i="4"/>
  <c r="J20" i="4"/>
  <c r="A21" i="4"/>
  <c r="B21" i="4"/>
  <c r="B21" i="18" s="1"/>
  <c r="B21" i="19" s="1"/>
  <c r="B21" i="20" s="1"/>
  <c r="B21" i="21" s="1"/>
  <c r="D21" i="4"/>
  <c r="J21" i="4"/>
  <c r="A22" i="4"/>
  <c r="A22" i="25" s="1"/>
  <c r="D22" i="4"/>
  <c r="J22" i="4"/>
  <c r="K22" i="4" s="1"/>
  <c r="N22" i="4" s="1"/>
  <c r="A23" i="4"/>
  <c r="A23" i="25" s="1"/>
  <c r="A24" i="4"/>
  <c r="A25" i="4"/>
  <c r="A25" i="18" s="1"/>
  <c r="A25" i="19" s="1"/>
  <c r="A25" i="20" s="1"/>
  <c r="A25" i="21" s="1"/>
  <c r="A26" i="4"/>
  <c r="A26" i="18"/>
  <c r="A26" i="19" s="1"/>
  <c r="A26" i="20" s="1"/>
  <c r="A26" i="21" s="1"/>
  <c r="A27" i="4"/>
  <c r="A27" i="25" s="1"/>
  <c r="A28" i="4"/>
  <c r="B28" i="4"/>
  <c r="B28" i="25" s="1"/>
  <c r="C28" i="4"/>
  <c r="C28" i="19" s="1"/>
  <c r="D28" i="4"/>
  <c r="J28" i="4"/>
  <c r="A29" i="4"/>
  <c r="A29" i="18" s="1"/>
  <c r="A29" i="19" s="1"/>
  <c r="A29" i="20" s="1"/>
  <c r="A29" i="21" s="1"/>
  <c r="B29" i="4"/>
  <c r="B29" i="25" s="1"/>
  <c r="C29" i="4"/>
  <c r="C29" i="19" s="1"/>
  <c r="D29" i="4"/>
  <c r="J29" i="4"/>
  <c r="K29" i="4" s="1"/>
  <c r="A31" i="4"/>
  <c r="A32" i="4"/>
  <c r="A32" i="25" s="1"/>
  <c r="A33" i="4"/>
  <c r="B33" i="4"/>
  <c r="B33" i="18" s="1"/>
  <c r="B33" i="19" s="1"/>
  <c r="B33" i="20" s="1"/>
  <c r="B33" i="21" s="1"/>
  <c r="D33" i="4"/>
  <c r="J33" i="4"/>
  <c r="A34" i="4"/>
  <c r="A34" i="18" s="1"/>
  <c r="A34" i="19" s="1"/>
  <c r="A34" i="20" s="1"/>
  <c r="A34" i="21" s="1"/>
  <c r="B34" i="4"/>
  <c r="B34" i="18" s="1"/>
  <c r="B34" i="19" s="1"/>
  <c r="B34" i="20" s="1"/>
  <c r="B34" i="21" s="1"/>
  <c r="D34" i="4"/>
  <c r="J34" i="4"/>
  <c r="P34" i="19" s="1"/>
  <c r="A35" i="4"/>
  <c r="B35" i="4"/>
  <c r="D35" i="4"/>
  <c r="J35" i="4"/>
  <c r="A36" i="4"/>
  <c r="A36" i="25" s="1"/>
  <c r="E36" i="4"/>
  <c r="F36" i="4"/>
  <c r="F36" i="25" s="1"/>
  <c r="G36" i="4"/>
  <c r="H36" i="4"/>
  <c r="I36" i="4"/>
  <c r="L36" i="4"/>
  <c r="M36" i="4"/>
  <c r="A37" i="4"/>
  <c r="A37" i="18" s="1"/>
  <c r="A37" i="19" s="1"/>
  <c r="A37" i="20" s="1"/>
  <c r="A37" i="21" s="1"/>
  <c r="A38" i="4"/>
  <c r="A38" i="18" s="1"/>
  <c r="A38" i="19" s="1"/>
  <c r="A38" i="20" s="1"/>
  <c r="A38" i="21" s="1"/>
  <c r="B38" i="4"/>
  <c r="B38" i="18" s="1"/>
  <c r="B38" i="19" s="1"/>
  <c r="B38" i="20" s="1"/>
  <c r="B38" i="21" s="1"/>
  <c r="D38" i="4"/>
  <c r="J38" i="4"/>
  <c r="A39" i="4"/>
  <c r="A39" i="18" s="1"/>
  <c r="A39" i="19" s="1"/>
  <c r="A39" i="20" s="1"/>
  <c r="A39" i="21" s="1"/>
  <c r="B39" i="4"/>
  <c r="D39" i="4"/>
  <c r="J39" i="4"/>
  <c r="A40" i="4"/>
  <c r="A40" i="18" s="1"/>
  <c r="A40" i="19" s="1"/>
  <c r="A40" i="20" s="1"/>
  <c r="A40" i="21" s="1"/>
  <c r="B40" i="4"/>
  <c r="D40" i="4"/>
  <c r="J40" i="4"/>
  <c r="A41" i="4"/>
  <c r="A41" i="18" s="1"/>
  <c r="A41" i="19" s="1"/>
  <c r="A41" i="20" s="1"/>
  <c r="A41" i="21" s="1"/>
  <c r="B41" i="4"/>
  <c r="B41" i="25" s="1"/>
  <c r="D41" i="4"/>
  <c r="J41" i="4"/>
  <c r="A42" i="4"/>
  <c r="A42" i="18" s="1"/>
  <c r="A42" i="19" s="1"/>
  <c r="A42" i="20" s="1"/>
  <c r="A42" i="21" s="1"/>
  <c r="E42" i="4"/>
  <c r="F42" i="4"/>
  <c r="F80" i="4"/>
  <c r="G42" i="4"/>
  <c r="G80" i="4"/>
  <c r="H42" i="4"/>
  <c r="H80" i="4" s="1"/>
  <c r="I42" i="4"/>
  <c r="I80" i="4"/>
  <c r="L42" i="4"/>
  <c r="L80" i="4"/>
  <c r="M42" i="4"/>
  <c r="M42" i="25" s="1"/>
  <c r="A43" i="4"/>
  <c r="A43" i="25"/>
  <c r="A44" i="4"/>
  <c r="A44" i="18" s="1"/>
  <c r="A44" i="19" s="1"/>
  <c r="A44" i="20" s="1"/>
  <c r="A44" i="21" s="1"/>
  <c r="B44" i="4"/>
  <c r="B44" i="25" s="1"/>
  <c r="C44" i="4"/>
  <c r="D44" i="4"/>
  <c r="J44" i="4"/>
  <c r="A45" i="4"/>
  <c r="B45" i="4"/>
  <c r="B45" i="25" s="1"/>
  <c r="C45" i="4"/>
  <c r="C45" i="20" s="1"/>
  <c r="D45" i="4"/>
  <c r="J45" i="4"/>
  <c r="A46" i="4"/>
  <c r="A46" i="18" s="1"/>
  <c r="A46" i="19" s="1"/>
  <c r="A46" i="20" s="1"/>
  <c r="A46" i="21" s="1"/>
  <c r="B46" i="4"/>
  <c r="B46" i="25" s="1"/>
  <c r="C46" i="4"/>
  <c r="C46" i="20" s="1"/>
  <c r="D46" i="4"/>
  <c r="J46" i="4"/>
  <c r="A47" i="4"/>
  <c r="B47" i="4"/>
  <c r="B47" i="25" s="1"/>
  <c r="C47" i="4"/>
  <c r="C47" i="20" s="1"/>
  <c r="D47" i="4"/>
  <c r="J47" i="4"/>
  <c r="A48" i="4"/>
  <c r="A48" i="18"/>
  <c r="A48" i="19" s="1"/>
  <c r="A48" i="20" s="1"/>
  <c r="A48" i="21" s="1"/>
  <c r="B48" i="4"/>
  <c r="B48" i="18" s="1"/>
  <c r="B48" i="19" s="1"/>
  <c r="B48" i="20" s="1"/>
  <c r="B48" i="21" s="1"/>
  <c r="C48" i="4"/>
  <c r="C48" i="19" s="1"/>
  <c r="A49" i="4"/>
  <c r="A49" i="18" s="1"/>
  <c r="A49" i="19" s="1"/>
  <c r="A49" i="20" s="1"/>
  <c r="A49" i="21" s="1"/>
  <c r="B49" i="4"/>
  <c r="B49" i="25" s="1"/>
  <c r="C49" i="4"/>
  <c r="C49" i="19" s="1"/>
  <c r="D49" i="4"/>
  <c r="J49" i="4"/>
  <c r="A50" i="4"/>
  <c r="A50" i="25" s="1"/>
  <c r="B50" i="4"/>
  <c r="C50" i="4"/>
  <c r="C50" i="20" s="1"/>
  <c r="D50" i="4"/>
  <c r="J50" i="4"/>
  <c r="C51" i="4"/>
  <c r="B55" i="4"/>
  <c r="C55" i="4"/>
  <c r="C55" i="20" s="1"/>
  <c r="B56" i="4"/>
  <c r="C56" i="4"/>
  <c r="B57" i="4"/>
  <c r="C57" i="4"/>
  <c r="B58" i="4"/>
  <c r="C58" i="4"/>
  <c r="C58" i="25" s="1"/>
  <c r="A61" i="25"/>
  <c r="D68" i="4"/>
  <c r="D69" i="4"/>
  <c r="D77" i="4"/>
  <c r="E81" i="4"/>
  <c r="D83" i="4"/>
  <c r="J83" i="4"/>
  <c r="A86" i="4"/>
  <c r="B86" i="4"/>
  <c r="B86" i="20" s="1"/>
  <c r="C86" i="4"/>
  <c r="C86" i="21" s="1"/>
  <c r="D86" i="4"/>
  <c r="J86" i="4"/>
  <c r="A87" i="4"/>
  <c r="A87" i="18" s="1"/>
  <c r="B87" i="4"/>
  <c r="B87" i="19" s="1"/>
  <c r="C87" i="4"/>
  <c r="D87" i="4"/>
  <c r="J87" i="4"/>
  <c r="A88" i="4"/>
  <c r="B88" i="4"/>
  <c r="B88" i="20" s="1"/>
  <c r="C88" i="4"/>
  <c r="C88" i="21" s="1"/>
  <c r="D88" i="4"/>
  <c r="J88" i="4"/>
  <c r="J88" i="25" s="1"/>
  <c r="A89" i="4"/>
  <c r="Z79" i="4" s="1"/>
  <c r="B89" i="4"/>
  <c r="B89" i="20"/>
  <c r="C89" i="4"/>
  <c r="C89" i="19" s="1"/>
  <c r="D89" i="4"/>
  <c r="J89" i="4"/>
  <c r="A90" i="4"/>
  <c r="U80" i="4"/>
  <c r="B90" i="4"/>
  <c r="B90" i="20" s="1"/>
  <c r="C90" i="4"/>
  <c r="C90" i="19" s="1"/>
  <c r="D90" i="4"/>
  <c r="J90" i="4"/>
  <c r="A91" i="4"/>
  <c r="B91" i="4"/>
  <c r="B91" i="25" s="1"/>
  <c r="C91" i="4"/>
  <c r="D91" i="4"/>
  <c r="J91" i="4"/>
  <c r="A92" i="4"/>
  <c r="B92" i="4"/>
  <c r="C92" i="4"/>
  <c r="D92" i="4"/>
  <c r="J92" i="4"/>
  <c r="J92" i="25"/>
  <c r="A93" i="4"/>
  <c r="U83" i="4"/>
  <c r="B93" i="4"/>
  <c r="B93" i="25" s="1"/>
  <c r="C93" i="4"/>
  <c r="C93" i="19" s="1"/>
  <c r="D93" i="4"/>
  <c r="J93" i="4"/>
  <c r="A94" i="4"/>
  <c r="X84" i="4"/>
  <c r="B94" i="4"/>
  <c r="B94" i="20" s="1"/>
  <c r="C94" i="4"/>
  <c r="C94" i="20" s="1"/>
  <c r="D94" i="4"/>
  <c r="J94" i="4"/>
  <c r="J94" i="25"/>
  <c r="A95" i="4"/>
  <c r="B95" i="4"/>
  <c r="C95" i="4"/>
  <c r="D95" i="4"/>
  <c r="J95" i="4"/>
  <c r="A96" i="4"/>
  <c r="A96" i="18" s="1"/>
  <c r="B96" i="4"/>
  <c r="B96" i="20" s="1"/>
  <c r="C96" i="4"/>
  <c r="C96" i="25" s="1"/>
  <c r="D96" i="4"/>
  <c r="J96" i="4"/>
  <c r="J96" i="25" s="1"/>
  <c r="A97" i="4"/>
  <c r="X87" i="4" s="1"/>
  <c r="B97" i="4"/>
  <c r="C97" i="4"/>
  <c r="C97" i="18" s="1"/>
  <c r="D97" i="4"/>
  <c r="J97" i="4"/>
  <c r="A98" i="4"/>
  <c r="T88" i="4" s="1"/>
  <c r="B98" i="4"/>
  <c r="C98" i="4"/>
  <c r="D98" i="4"/>
  <c r="J98" i="4"/>
  <c r="A99" i="4"/>
  <c r="T89" i="4" s="1"/>
  <c r="B99" i="4"/>
  <c r="B99" i="21" s="1"/>
  <c r="C99" i="4"/>
  <c r="C99" i="18" s="1"/>
  <c r="D99" i="4"/>
  <c r="J99" i="4"/>
  <c r="A100" i="4"/>
  <c r="B100" i="4"/>
  <c r="C100" i="4"/>
  <c r="D100" i="4"/>
  <c r="J100" i="4"/>
  <c r="J100" i="25"/>
  <c r="A101" i="4"/>
  <c r="V91" i="4" s="1"/>
  <c r="B101" i="4"/>
  <c r="C101" i="4"/>
  <c r="D101" i="4"/>
  <c r="J101" i="4"/>
  <c r="E102" i="4"/>
  <c r="E12" i="4" s="1"/>
  <c r="F102" i="4"/>
  <c r="F12" i="4"/>
  <c r="F13" i="4" s="1"/>
  <c r="G102" i="4"/>
  <c r="G102" i="25" s="1"/>
  <c r="G12" i="4"/>
  <c r="H102" i="4"/>
  <c r="I102" i="4"/>
  <c r="I12" i="4" s="1"/>
  <c r="I13" i="4" s="1"/>
  <c r="L102" i="4"/>
  <c r="L12" i="4"/>
  <c r="L13" i="4" s="1"/>
  <c r="M102" i="4"/>
  <c r="A104" i="4"/>
  <c r="A104" i="25" s="1"/>
  <c r="B104" i="4"/>
  <c r="C104" i="4"/>
  <c r="C104" i="19" s="1"/>
  <c r="D104" i="4"/>
  <c r="J104" i="4"/>
  <c r="A105" i="4"/>
  <c r="B105" i="4"/>
  <c r="C105" i="4"/>
  <c r="C105" i="19"/>
  <c r="D105" i="4"/>
  <c r="J105" i="4"/>
  <c r="A106" i="4"/>
  <c r="B106" i="4"/>
  <c r="B106" i="21" s="1"/>
  <c r="C106" i="4"/>
  <c r="C106" i="25" s="1"/>
  <c r="D106" i="4"/>
  <c r="J106" i="4"/>
  <c r="A107" i="4"/>
  <c r="B107" i="4"/>
  <c r="B107" i="25" s="1"/>
  <c r="C107" i="4"/>
  <c r="D107" i="4"/>
  <c r="J107" i="4"/>
  <c r="A108" i="4"/>
  <c r="A108" i="25" s="1"/>
  <c r="B108" i="4"/>
  <c r="B108" i="25" s="1"/>
  <c r="C108" i="4"/>
  <c r="D108" i="4"/>
  <c r="J108" i="4"/>
  <c r="J108" i="25"/>
  <c r="E109" i="4"/>
  <c r="E30" i="4" s="1"/>
  <c r="E31" i="4" s="1"/>
  <c r="F109" i="4"/>
  <c r="F30" i="4" s="1"/>
  <c r="F31" i="4" s="1"/>
  <c r="F79" i="4" s="1"/>
  <c r="G109" i="4"/>
  <c r="G30" i="4" s="1"/>
  <c r="G31" i="4" s="1"/>
  <c r="H109" i="4"/>
  <c r="H30" i="4" s="1"/>
  <c r="H31" i="4" s="1"/>
  <c r="I109" i="4"/>
  <c r="I30" i="4" s="1"/>
  <c r="I31" i="4" s="1"/>
  <c r="L109" i="4"/>
  <c r="L30" i="4"/>
  <c r="M109" i="4"/>
  <c r="M30" i="4" s="1"/>
  <c r="M31" i="4" s="1"/>
  <c r="A111" i="4"/>
  <c r="A111" i="18" s="1"/>
  <c r="A111" i="19" s="1"/>
  <c r="A111" i="20" s="1"/>
  <c r="A111" i="21" s="1"/>
  <c r="B111" i="4"/>
  <c r="B111" i="18" s="1"/>
  <c r="C111" i="4"/>
  <c r="C111" i="19" s="1"/>
  <c r="D111" i="4"/>
  <c r="J111" i="4"/>
  <c r="A112" i="4"/>
  <c r="A112" i="18" s="1"/>
  <c r="A112" i="19" s="1"/>
  <c r="A112" i="20" s="1"/>
  <c r="A112" i="21" s="1"/>
  <c r="B112" i="4"/>
  <c r="B112" i="19" s="1"/>
  <c r="C112" i="4"/>
  <c r="D112" i="4"/>
  <c r="J112" i="4"/>
  <c r="A113" i="4"/>
  <c r="A113" i="18"/>
  <c r="A113" i="19" s="1"/>
  <c r="A113" i="20" s="1"/>
  <c r="A113" i="21" s="1"/>
  <c r="B113" i="4"/>
  <c r="B113" i="18" s="1"/>
  <c r="C113" i="4"/>
  <c r="D113" i="4"/>
  <c r="J113" i="4"/>
  <c r="A114" i="4"/>
  <c r="A114" i="18" s="1"/>
  <c r="A114" i="19" s="1"/>
  <c r="A114" i="20" s="1"/>
  <c r="A114" i="21" s="1"/>
  <c r="B114" i="4"/>
  <c r="B114" i="18" s="1"/>
  <c r="B114" i="19" s="1"/>
  <c r="B114" i="20" s="1"/>
  <c r="B114" i="21" s="1"/>
  <c r="C114" i="4"/>
  <c r="C114" i="18" s="1"/>
  <c r="C114" i="19" s="1"/>
  <c r="C114" i="20" s="1"/>
  <c r="C114" i="21" s="1"/>
  <c r="D114" i="4"/>
  <c r="J114" i="4"/>
  <c r="A115" i="4"/>
  <c r="A115" i="18" s="1"/>
  <c r="A115" i="19" s="1"/>
  <c r="A115" i="20" s="1"/>
  <c r="A115" i="21" s="1"/>
  <c r="B115" i="4"/>
  <c r="B115" i="18" s="1"/>
  <c r="B115" i="19" s="1"/>
  <c r="B115" i="20" s="1"/>
  <c r="B115" i="21" s="1"/>
  <c r="C115" i="4"/>
  <c r="C115" i="18" s="1"/>
  <c r="C115" i="19" s="1"/>
  <c r="C115" i="20" s="1"/>
  <c r="C115" i="21" s="1"/>
  <c r="D115" i="4"/>
  <c r="J115" i="4"/>
  <c r="A116" i="4"/>
  <c r="A116" i="18" s="1"/>
  <c r="A116" i="19" s="1"/>
  <c r="A116" i="20" s="1"/>
  <c r="A116" i="21" s="1"/>
  <c r="B116" i="4"/>
  <c r="B116" i="18" s="1"/>
  <c r="B116" i="19" s="1"/>
  <c r="B116" i="20" s="1"/>
  <c r="B116" i="21" s="1"/>
  <c r="C116" i="4"/>
  <c r="C116" i="18" s="1"/>
  <c r="C116" i="19" s="1"/>
  <c r="C116" i="20" s="1"/>
  <c r="C116" i="21" s="1"/>
  <c r="D116" i="4"/>
  <c r="J116" i="4"/>
  <c r="A117" i="4"/>
  <c r="A117" i="18" s="1"/>
  <c r="A117" i="19" s="1"/>
  <c r="A117" i="20" s="1"/>
  <c r="A117" i="21" s="1"/>
  <c r="B117" i="4"/>
  <c r="B117" i="18" s="1"/>
  <c r="B117" i="19" s="1"/>
  <c r="B117" i="20" s="1"/>
  <c r="B117" i="21" s="1"/>
  <c r="C117" i="4"/>
  <c r="C117" i="18" s="1"/>
  <c r="C117" i="19" s="1"/>
  <c r="C117" i="20" s="1"/>
  <c r="C117" i="21" s="1"/>
  <c r="D117" i="4"/>
  <c r="J117" i="4"/>
  <c r="A118" i="4"/>
  <c r="A118" i="18" s="1"/>
  <c r="A118" i="19" s="1"/>
  <c r="A118" i="20" s="1"/>
  <c r="A118" i="21" s="1"/>
  <c r="B118" i="4"/>
  <c r="B118" i="18" s="1"/>
  <c r="B118" i="19" s="1"/>
  <c r="B118" i="20" s="1"/>
  <c r="B118" i="21" s="1"/>
  <c r="C118" i="4"/>
  <c r="C118" i="18" s="1"/>
  <c r="C118" i="19" s="1"/>
  <c r="C118" i="20" s="1"/>
  <c r="C118" i="21" s="1"/>
  <c r="D118" i="4"/>
  <c r="J118" i="4"/>
  <c r="A119" i="4"/>
  <c r="A119" i="18" s="1"/>
  <c r="A119" i="19" s="1"/>
  <c r="A119" i="20" s="1"/>
  <c r="A119" i="21" s="1"/>
  <c r="B119" i="4"/>
  <c r="B119" i="18"/>
  <c r="B119" i="19" s="1"/>
  <c r="B119" i="20" s="1"/>
  <c r="B119" i="21" s="1"/>
  <c r="C119" i="4"/>
  <c r="C119" i="18"/>
  <c r="C119" i="19" s="1"/>
  <c r="C119" i="20" s="1"/>
  <c r="C119" i="21" s="1"/>
  <c r="D119" i="4"/>
  <c r="J119" i="4"/>
  <c r="E120" i="4"/>
  <c r="E51" i="4" s="1"/>
  <c r="F120" i="4"/>
  <c r="F51" i="4" s="1"/>
  <c r="G120" i="4"/>
  <c r="G51" i="4" s="1"/>
  <c r="H120" i="4"/>
  <c r="H51" i="4" s="1"/>
  <c r="I120" i="4"/>
  <c r="L120" i="4"/>
  <c r="M120" i="4"/>
  <c r="B123" i="4"/>
  <c r="C123" i="4"/>
  <c r="D123" i="4"/>
  <c r="K123" i="4" s="1"/>
  <c r="N123" i="4"/>
  <c r="A124" i="4"/>
  <c r="C124" i="4"/>
  <c r="A125" i="4"/>
  <c r="C125" i="4"/>
  <c r="B126" i="4"/>
  <c r="C126" i="4"/>
  <c r="D126" i="4"/>
  <c r="K126" i="4"/>
  <c r="N126" i="4" s="1"/>
  <c r="A127" i="4"/>
  <c r="C127" i="4"/>
  <c r="A128" i="4"/>
  <c r="C128" i="4"/>
  <c r="B129" i="4"/>
  <c r="C129" i="4"/>
  <c r="D129" i="4"/>
  <c r="K129" i="4" s="1"/>
  <c r="N129" i="4" s="1"/>
  <c r="A130" i="4"/>
  <c r="C130" i="4"/>
  <c r="A131" i="4"/>
  <c r="C131" i="4"/>
  <c r="B132" i="4"/>
  <c r="C132" i="4"/>
  <c r="D132" i="4"/>
  <c r="K132" i="4" s="1"/>
  <c r="N132" i="4" s="1"/>
  <c r="A133" i="4"/>
  <c r="C133" i="4"/>
  <c r="A134" i="4"/>
  <c r="C134" i="4"/>
  <c r="B135" i="4"/>
  <c r="C135" i="4"/>
  <c r="D135" i="4"/>
  <c r="A136" i="4"/>
  <c r="C136" i="4"/>
  <c r="A137" i="4"/>
  <c r="C137" i="4"/>
  <c r="B138" i="4"/>
  <c r="C138" i="4"/>
  <c r="D138" i="4"/>
  <c r="A139" i="4"/>
  <c r="C139" i="4"/>
  <c r="A140" i="4"/>
  <c r="C140" i="4"/>
  <c r="B141" i="4"/>
  <c r="C141" i="4"/>
  <c r="D141" i="4"/>
  <c r="K141" i="4" s="1"/>
  <c r="N141" i="4" s="1"/>
  <c r="A142" i="4"/>
  <c r="C142" i="4"/>
  <c r="A143" i="4"/>
  <c r="C143" i="4"/>
  <c r="B144" i="4"/>
  <c r="C144" i="4"/>
  <c r="D144" i="4"/>
  <c r="K144" i="4" s="1"/>
  <c r="N144" i="4" s="1"/>
  <c r="A145" i="4"/>
  <c r="C145" i="4"/>
  <c r="A146" i="4"/>
  <c r="C146" i="4"/>
  <c r="B147" i="4"/>
  <c r="C147" i="4"/>
  <c r="D147" i="4"/>
  <c r="K147" i="4" s="1"/>
  <c r="N147" i="4" s="1"/>
  <c r="A148" i="4"/>
  <c r="C148" i="4"/>
  <c r="A149" i="4"/>
  <c r="C149" i="4"/>
  <c r="B150" i="4"/>
  <c r="C150" i="4"/>
  <c r="D150" i="4"/>
  <c r="K150" i="4" s="1"/>
  <c r="N150" i="4" s="1"/>
  <c r="A151" i="4"/>
  <c r="C151" i="4"/>
  <c r="A152" i="4"/>
  <c r="C152" i="4"/>
  <c r="N6" i="27"/>
  <c r="N7" i="27"/>
  <c r="I8" i="27"/>
  <c r="D8" i="25" s="1"/>
  <c r="N8" i="27"/>
  <c r="I9" i="27"/>
  <c r="D9" i="25" s="1"/>
  <c r="N9" i="27"/>
  <c r="I10" i="27"/>
  <c r="D10" i="25" s="1"/>
  <c r="I11" i="27"/>
  <c r="D11" i="25" s="1"/>
  <c r="I15" i="27"/>
  <c r="D15" i="25" s="1"/>
  <c r="I16" i="27"/>
  <c r="D16" i="25"/>
  <c r="I17" i="27"/>
  <c r="D17" i="25" s="1"/>
  <c r="I18" i="27"/>
  <c r="D18" i="25" s="1"/>
  <c r="I19" i="27"/>
  <c r="D19" i="25" s="1"/>
  <c r="I20" i="27"/>
  <c r="D20" i="25" s="1"/>
  <c r="I21" i="27"/>
  <c r="D21" i="25" s="1"/>
  <c r="I22" i="27"/>
  <c r="D22" i="25" s="1"/>
  <c r="I28" i="27"/>
  <c r="D28" i="25" s="1"/>
  <c r="I29" i="27"/>
  <c r="D29" i="25" s="1"/>
  <c r="I33" i="27"/>
  <c r="D33" i="25" s="1"/>
  <c r="I34" i="27"/>
  <c r="D34" i="25" s="1"/>
  <c r="I35" i="27"/>
  <c r="D35" i="25" s="1"/>
  <c r="D36" i="27"/>
  <c r="D36" i="4" s="1"/>
  <c r="E36" i="27"/>
  <c r="D36" i="18" s="1"/>
  <c r="F36" i="27"/>
  <c r="D36" i="19" s="1"/>
  <c r="G36" i="27"/>
  <c r="D36" i="20"/>
  <c r="H36" i="27"/>
  <c r="D36" i="21"/>
  <c r="I38" i="27"/>
  <c r="D38" i="25" s="1"/>
  <c r="I39" i="27"/>
  <c r="D39" i="25"/>
  <c r="I40" i="27"/>
  <c r="D40" i="25" s="1"/>
  <c r="I41" i="27"/>
  <c r="D41" i="25" s="1"/>
  <c r="D42" i="27"/>
  <c r="D83" i="27" s="1"/>
  <c r="E42" i="27"/>
  <c r="F42" i="27"/>
  <c r="F83" i="27" s="1"/>
  <c r="D80" i="19" s="1"/>
  <c r="G42" i="27"/>
  <c r="G83" i="27"/>
  <c r="D80" i="20" s="1"/>
  <c r="H42" i="27"/>
  <c r="I44" i="27"/>
  <c r="D44" i="25" s="1"/>
  <c r="I45" i="27"/>
  <c r="D45" i="25" s="1"/>
  <c r="I46" i="27"/>
  <c r="D46" i="25" s="1"/>
  <c r="I47" i="27"/>
  <c r="D47" i="25" s="1"/>
  <c r="I49" i="27"/>
  <c r="D49" i="25" s="1"/>
  <c r="I50" i="27"/>
  <c r="D50" i="25"/>
  <c r="I58" i="27"/>
  <c r="I59" i="27"/>
  <c r="D67" i="19"/>
  <c r="E71" i="27"/>
  <c r="F71" i="27"/>
  <c r="G71" i="27"/>
  <c r="H71" i="27"/>
  <c r="I71" i="27"/>
  <c r="D77" i="18"/>
  <c r="M84" i="18" s="1"/>
  <c r="M60" i="18" s="1"/>
  <c r="D77" i="21"/>
  <c r="M84" i="21" s="1"/>
  <c r="M60" i="21" s="1"/>
  <c r="D84" i="27"/>
  <c r="E84" i="27"/>
  <c r="D81" i="18"/>
  <c r="F84" i="27"/>
  <c r="D81" i="19" s="1"/>
  <c r="K81" i="19" s="1"/>
  <c r="N81" i="19" s="1"/>
  <c r="G84" i="27"/>
  <c r="D81" i="20" s="1"/>
  <c r="H84" i="27"/>
  <c r="D81" i="21" s="1"/>
  <c r="I86" i="27"/>
  <c r="D83" i="25" s="1"/>
  <c r="I89" i="27"/>
  <c r="D86" i="25" s="1"/>
  <c r="I90" i="27"/>
  <c r="D87" i="25" s="1"/>
  <c r="I91" i="27"/>
  <c r="D88" i="25" s="1"/>
  <c r="I92" i="27"/>
  <c r="D89" i="25" s="1"/>
  <c r="I93" i="27"/>
  <c r="D90" i="25" s="1"/>
  <c r="I94" i="27"/>
  <c r="D91" i="25" s="1"/>
  <c r="I95" i="27"/>
  <c r="D92" i="25" s="1"/>
  <c r="I96" i="27"/>
  <c r="D93" i="25" s="1"/>
  <c r="I97" i="27"/>
  <c r="D94" i="25" s="1"/>
  <c r="I98" i="27"/>
  <c r="D95" i="25" s="1"/>
  <c r="I99" i="27"/>
  <c r="D96" i="25" s="1"/>
  <c r="I100" i="27"/>
  <c r="D97" i="25" s="1"/>
  <c r="I101" i="27"/>
  <c r="D98" i="25" s="1"/>
  <c r="I102" i="27"/>
  <c r="D99" i="25" s="1"/>
  <c r="I103" i="27"/>
  <c r="D100" i="25" s="1"/>
  <c r="I104" i="27"/>
  <c r="D101" i="25" s="1"/>
  <c r="D105" i="27"/>
  <c r="E105" i="27"/>
  <c r="F105" i="27"/>
  <c r="F12" i="27"/>
  <c r="G105" i="27"/>
  <c r="D102" i="20" s="1"/>
  <c r="H105" i="27"/>
  <c r="D102" i="21" s="1"/>
  <c r="I107" i="27"/>
  <c r="D104" i="25" s="1"/>
  <c r="I108" i="27"/>
  <c r="D105" i="25" s="1"/>
  <c r="I109" i="27"/>
  <c r="D106" i="25" s="1"/>
  <c r="I110" i="27"/>
  <c r="D107" i="25" s="1"/>
  <c r="I111" i="27"/>
  <c r="D108" i="25" s="1"/>
  <c r="D112" i="27"/>
  <c r="D109" i="4"/>
  <c r="E112" i="27"/>
  <c r="E30" i="27" s="1"/>
  <c r="F112" i="27"/>
  <c r="F30" i="27"/>
  <c r="G112" i="27"/>
  <c r="G30" i="27" s="1"/>
  <c r="H112" i="27"/>
  <c r="H30" i="27" s="1"/>
  <c r="I115" i="27"/>
  <c r="D111" i="25" s="1"/>
  <c r="I116" i="27"/>
  <c r="D112" i="25" s="1"/>
  <c r="I117" i="27"/>
  <c r="D113" i="25" s="1"/>
  <c r="I118" i="27"/>
  <c r="D114" i="25" s="1"/>
  <c r="I119" i="27"/>
  <c r="D115" i="25" s="1"/>
  <c r="I120" i="27"/>
  <c r="D116" i="25" s="1"/>
  <c r="I121" i="27"/>
  <c r="I122" i="27"/>
  <c r="D118" i="25" s="1"/>
  <c r="I123" i="27"/>
  <c r="D119" i="25"/>
  <c r="D124" i="27"/>
  <c r="D120" i="4" s="1"/>
  <c r="E124" i="27"/>
  <c r="D120" i="18" s="1"/>
  <c r="F124" i="27"/>
  <c r="G124" i="27"/>
  <c r="D120" i="20" s="1"/>
  <c r="H124" i="27"/>
  <c r="I127" i="27"/>
  <c r="D123" i="25" s="1"/>
  <c r="M127" i="27"/>
  <c r="S127" i="27"/>
  <c r="T127" i="27" s="1"/>
  <c r="M128" i="27"/>
  <c r="S128" i="27"/>
  <c r="N128" i="27" s="1"/>
  <c r="M129" i="27"/>
  <c r="S129" i="27"/>
  <c r="I130" i="27"/>
  <c r="D126" i="25" s="1"/>
  <c r="M130" i="27"/>
  <c r="S130" i="27"/>
  <c r="N130" i="27" s="1"/>
  <c r="M131" i="27"/>
  <c r="S131" i="27"/>
  <c r="N131" i="27" s="1"/>
  <c r="M132" i="27"/>
  <c r="S132" i="27"/>
  <c r="T132" i="27"/>
  <c r="I133" i="27"/>
  <c r="D129" i="25" s="1"/>
  <c r="M133" i="27"/>
  <c r="S133" i="27"/>
  <c r="T133" i="27" s="1"/>
  <c r="M134" i="27"/>
  <c r="S134" i="27"/>
  <c r="N134" i="27" s="1"/>
  <c r="M135" i="27"/>
  <c r="S135" i="27"/>
  <c r="I136" i="27"/>
  <c r="D132" i="25" s="1"/>
  <c r="M136" i="27"/>
  <c r="S136" i="27"/>
  <c r="N136" i="27" s="1"/>
  <c r="I139" i="27"/>
  <c r="D135" i="25" s="1"/>
  <c r="I142" i="27"/>
  <c r="D138" i="25"/>
  <c r="I145" i="27"/>
  <c r="D141" i="25" s="1"/>
  <c r="I148" i="27"/>
  <c r="D144" i="25" s="1"/>
  <c r="I151" i="27"/>
  <c r="D147" i="25" s="1"/>
  <c r="I154" i="27"/>
  <c r="D150" i="25" s="1"/>
  <c r="A13" i="31"/>
  <c r="A24" i="31"/>
  <c r="A26" i="31"/>
  <c r="A27" i="31"/>
  <c r="A28" i="31"/>
  <c r="A43" i="31"/>
  <c r="B43" i="31"/>
  <c r="A45" i="31"/>
  <c r="A59" i="31"/>
  <c r="A64" i="31"/>
  <c r="B64" i="31"/>
  <c r="A68" i="31"/>
  <c r="B68" i="31"/>
  <c r="A74" i="31"/>
  <c r="B74" i="31"/>
  <c r="A75" i="31"/>
  <c r="B75" i="31"/>
  <c r="A76" i="31"/>
  <c r="B76" i="31"/>
  <c r="A81" i="31"/>
  <c r="B81" i="31"/>
  <c r="A82" i="31"/>
  <c r="B82" i="31"/>
  <c r="A85" i="31"/>
  <c r="B85" i="31"/>
  <c r="A91" i="31"/>
  <c r="B91" i="31"/>
  <c r="A92" i="31"/>
  <c r="B92" i="31"/>
  <c r="A96" i="31"/>
  <c r="B96" i="31"/>
  <c r="A99" i="31"/>
  <c r="B99" i="31"/>
  <c r="A100" i="31"/>
  <c r="B100" i="31"/>
  <c r="A101" i="31"/>
  <c r="B101" i="31"/>
  <c r="A105" i="31"/>
  <c r="B105" i="31"/>
  <c r="A129" i="31"/>
  <c r="B129" i="31"/>
  <c r="A135" i="31"/>
  <c r="B135" i="31"/>
  <c r="A136" i="31"/>
  <c r="B136" i="31"/>
  <c r="A137" i="31"/>
  <c r="B137" i="31"/>
  <c r="A138" i="31"/>
  <c r="B138" i="31"/>
  <c r="A139" i="31"/>
  <c r="B139" i="31"/>
  <c r="A140" i="31"/>
  <c r="B140" i="31"/>
  <c r="A141" i="31"/>
  <c r="B141" i="31"/>
  <c r="A142" i="31"/>
  <c r="B142" i="31"/>
  <c r="A184" i="31"/>
  <c r="B184" i="31"/>
  <c r="A187" i="31"/>
  <c r="B187" i="31"/>
  <c r="A188" i="31"/>
  <c r="B188" i="31"/>
  <c r="A204" i="31"/>
  <c r="B204" i="31"/>
  <c r="A205" i="31"/>
  <c r="B205" i="31"/>
  <c r="A206" i="31"/>
  <c r="B206" i="31"/>
  <c r="A207" i="31"/>
  <c r="B207" i="31"/>
  <c r="A208" i="31"/>
  <c r="B208" i="31"/>
  <c r="A209" i="31"/>
  <c r="B209" i="31"/>
  <c r="A210" i="31"/>
  <c r="B210" i="31"/>
  <c r="A214" i="31"/>
  <c r="B214" i="31"/>
  <c r="A215" i="31"/>
  <c r="B215" i="31"/>
  <c r="A241" i="31"/>
  <c r="B241" i="31"/>
  <c r="A255" i="31"/>
  <c r="B255" i="31"/>
  <c r="A256" i="31"/>
  <c r="B256" i="31"/>
  <c r="A257" i="31"/>
  <c r="B257" i="31"/>
  <c r="A258" i="31"/>
  <c r="B258" i="31"/>
  <c r="A259" i="31"/>
  <c r="B259" i="31"/>
  <c r="A260" i="31"/>
  <c r="B260" i="31"/>
  <c r="A261" i="31"/>
  <c r="B261" i="31"/>
  <c r="A262" i="31"/>
  <c r="B262" i="31"/>
  <c r="A263" i="31"/>
  <c r="B263" i="31"/>
  <c r="A264" i="31"/>
  <c r="B264" i="31"/>
  <c r="A265" i="31"/>
  <c r="B265" i="31"/>
  <c r="A266" i="31"/>
  <c r="B266" i="31"/>
  <c r="A267" i="31"/>
  <c r="B267" i="31"/>
  <c r="A268" i="31"/>
  <c r="B268" i="31"/>
  <c r="A269" i="31"/>
  <c r="B269" i="31"/>
  <c r="A270" i="31"/>
  <c r="B270" i="31"/>
  <c r="A271" i="31"/>
  <c r="B271" i="31"/>
  <c r="A272" i="31"/>
  <c r="B272" i="31"/>
  <c r="A273" i="31"/>
  <c r="B273" i="31"/>
  <c r="A274" i="31"/>
  <c r="B274" i="31"/>
  <c r="A275" i="31"/>
  <c r="B275" i="31"/>
  <c r="A276" i="31"/>
  <c r="B276" i="31"/>
  <c r="A277" i="31"/>
  <c r="B277" i="31"/>
  <c r="A278" i="31"/>
  <c r="B278" i="31"/>
  <c r="A279" i="31"/>
  <c r="B279" i="31"/>
  <c r="A280" i="31"/>
  <c r="B280" i="31"/>
  <c r="A281" i="31"/>
  <c r="B281" i="31"/>
  <c r="A282" i="31"/>
  <c r="B282" i="31"/>
  <c r="A283" i="31"/>
  <c r="B283" i="31"/>
  <c r="A284" i="31"/>
  <c r="B284" i="31"/>
  <c r="A285" i="31"/>
  <c r="B285" i="31"/>
  <c r="A286" i="31"/>
  <c r="B286" i="31"/>
  <c r="A287" i="31"/>
  <c r="B287" i="31"/>
  <c r="B288" i="31"/>
  <c r="H12" i="27"/>
  <c r="T142" i="27"/>
  <c r="T137" i="27"/>
  <c r="U137" i="27" s="1"/>
  <c r="F158" i="27" s="1"/>
  <c r="D42" i="19"/>
  <c r="L68" i="18"/>
  <c r="D140" i="27"/>
  <c r="D141" i="27" s="1"/>
  <c r="D137" i="4" s="1"/>
  <c r="N137" i="4" s="1"/>
  <c r="E158" i="27"/>
  <c r="D154" i="18" s="1"/>
  <c r="N145" i="27"/>
  <c r="D182" i="27"/>
  <c r="T145" i="27"/>
  <c r="T136" i="27"/>
  <c r="T131" i="27"/>
  <c r="U131" i="27" s="1"/>
  <c r="P131" i="27" s="1"/>
  <c r="D131" i="27"/>
  <c r="D132" i="27" s="1"/>
  <c r="D128" i="4" s="1"/>
  <c r="N128" i="4" s="1"/>
  <c r="N137" i="27"/>
  <c r="D158" i="27"/>
  <c r="D167" i="27"/>
  <c r="D163" i="4"/>
  <c r="N163" i="4" s="1"/>
  <c r="N140" i="27"/>
  <c r="N143" i="27"/>
  <c r="T141" i="27"/>
  <c r="E170" i="27" s="1"/>
  <c r="A56" i="19"/>
  <c r="A56" i="20" s="1"/>
  <c r="A56" i="21" s="1"/>
  <c r="N162" i="19"/>
  <c r="O131" i="27"/>
  <c r="D168" i="27"/>
  <c r="D164" i="4" s="1"/>
  <c r="N164" i="4" s="1"/>
  <c r="F183" i="25"/>
  <c r="Y122" i="4"/>
  <c r="L69" i="25"/>
  <c r="K159" i="4"/>
  <c r="N159" i="4" s="1"/>
  <c r="B100" i="19"/>
  <c r="L102" i="25"/>
  <c r="T131" i="4"/>
  <c r="Y134" i="4"/>
  <c r="T134" i="4" s="1"/>
  <c r="H48" i="4"/>
  <c r="P49" i="21"/>
  <c r="K17" i="21"/>
  <c r="N17" i="21"/>
  <c r="L51" i="4"/>
  <c r="M12" i="4"/>
  <c r="M102" i="25"/>
  <c r="Y124" i="4"/>
  <c r="T124" i="4" s="1"/>
  <c r="Y129" i="4"/>
  <c r="T136" i="4"/>
  <c r="Y130" i="4"/>
  <c r="J148" i="4"/>
  <c r="B49" i="18"/>
  <c r="B49" i="19" s="1"/>
  <c r="B49" i="20" s="1"/>
  <c r="B49" i="21" s="1"/>
  <c r="J160" i="4"/>
  <c r="J161" i="4" s="1"/>
  <c r="AA124" i="4"/>
  <c r="U124" i="4" s="1"/>
  <c r="M13" i="4"/>
  <c r="M23" i="4"/>
  <c r="G51" i="21"/>
  <c r="I51" i="21"/>
  <c r="K98" i="21"/>
  <c r="N98" i="21"/>
  <c r="L36" i="25"/>
  <c r="F12" i="21"/>
  <c r="F13" i="21"/>
  <c r="K50" i="21"/>
  <c r="N50" i="21"/>
  <c r="K144" i="21"/>
  <c r="J81" i="21"/>
  <c r="P49" i="19"/>
  <c r="G48" i="21"/>
  <c r="G52" i="21"/>
  <c r="G183" i="25"/>
  <c r="I80" i="21"/>
  <c r="F80" i="21"/>
  <c r="K45" i="20"/>
  <c r="N45" i="20" s="1"/>
  <c r="I30" i="20"/>
  <c r="I31" i="20" s="1"/>
  <c r="P17" i="18"/>
  <c r="G80" i="18"/>
  <c r="N162" i="21"/>
  <c r="C28" i="25"/>
  <c r="B100" i="18"/>
  <c r="B100" i="25"/>
  <c r="B100" i="21"/>
  <c r="B100" i="20"/>
  <c r="A22" i="18"/>
  <c r="A22" i="19" s="1"/>
  <c r="A22" i="20" s="1"/>
  <c r="A22" i="21" s="1"/>
  <c r="B47" i="18"/>
  <c r="B47" i="19" s="1"/>
  <c r="B47" i="20" s="1"/>
  <c r="B47" i="21" s="1"/>
  <c r="B21" i="25"/>
  <c r="C101" i="21"/>
  <c r="N156" i="21"/>
  <c r="A10" i="25"/>
  <c r="B105" i="21"/>
  <c r="N156" i="19"/>
  <c r="B108" i="19"/>
  <c r="B108" i="20"/>
  <c r="C28" i="18"/>
  <c r="E80" i="21"/>
  <c r="C87" i="20"/>
  <c r="A31" i="18"/>
  <c r="A31" i="19" s="1"/>
  <c r="A31" i="20" s="1"/>
  <c r="A31" i="21" s="1"/>
  <c r="A31" i="25"/>
  <c r="K47" i="19"/>
  <c r="N47" i="19" s="1"/>
  <c r="E80" i="19"/>
  <c r="B17" i="18"/>
  <c r="B17" i="19" s="1"/>
  <c r="B17" i="20" s="1"/>
  <c r="B17" i="21" s="1"/>
  <c r="B92" i="25"/>
  <c r="B113" i="21"/>
  <c r="K35" i="21"/>
  <c r="N35" i="21" s="1"/>
  <c r="K57" i="18"/>
  <c r="A97" i="18"/>
  <c r="T87" i="18" s="1"/>
  <c r="A89" i="25"/>
  <c r="K58" i="4"/>
  <c r="B94" i="19"/>
  <c r="A95" i="25"/>
  <c r="C108" i="20"/>
  <c r="C108" i="21" s="1"/>
  <c r="A28" i="18"/>
  <c r="A28" i="19" s="1"/>
  <c r="A28" i="20" s="1"/>
  <c r="A28" i="21" s="1"/>
  <c r="A28" i="25"/>
  <c r="B108" i="21"/>
  <c r="B108" i="18"/>
  <c r="B92" i="20"/>
  <c r="N56" i="4"/>
  <c r="A37" i="25"/>
  <c r="N29" i="4"/>
  <c r="A105" i="25"/>
  <c r="A105" i="18"/>
  <c r="A105" i="19" s="1"/>
  <c r="A105" i="20" s="1"/>
  <c r="A105" i="21" s="1"/>
  <c r="K10" i="18"/>
  <c r="N10" i="18" s="1"/>
  <c r="K35" i="20"/>
  <c r="N35" i="20"/>
  <c r="C95" i="20"/>
  <c r="C95" i="21"/>
  <c r="C97" i="19"/>
  <c r="K33" i="19"/>
  <c r="N33" i="19" s="1"/>
  <c r="A97" i="25"/>
  <c r="U79" i="4"/>
  <c r="C104" i="20"/>
  <c r="C104" i="21" s="1"/>
  <c r="X76" i="4"/>
  <c r="A86" i="18"/>
  <c r="Z76" i="18" s="1"/>
  <c r="Z89" i="4"/>
  <c r="W89" i="4"/>
  <c r="Y85" i="4"/>
  <c r="U85" i="4"/>
  <c r="V85" i="4"/>
  <c r="Z85" i="4"/>
  <c r="X85" i="4"/>
  <c r="T85" i="4"/>
  <c r="A95" i="18"/>
  <c r="X85" i="18" s="1"/>
  <c r="W85" i="4"/>
  <c r="B92" i="18"/>
  <c r="B92" i="19"/>
  <c r="K38" i="19"/>
  <c r="N38" i="19" s="1"/>
  <c r="B92" i="21"/>
  <c r="A20" i="25"/>
  <c r="N141" i="19"/>
  <c r="W88" i="4"/>
  <c r="Y87" i="4"/>
  <c r="W87" i="4"/>
  <c r="V87" i="4"/>
  <c r="T87" i="4"/>
  <c r="Z87" i="4"/>
  <c r="U87" i="4"/>
  <c r="B11" i="18"/>
  <c r="B11" i="19" s="1"/>
  <c r="B11" i="20" s="1"/>
  <c r="B11" i="21" s="1"/>
  <c r="B11" i="25"/>
  <c r="B40" i="18"/>
  <c r="B40" i="19" s="1"/>
  <c r="B40" i="20" s="1"/>
  <c r="B40" i="21" s="1"/>
  <c r="B40" i="25"/>
  <c r="T80" i="4"/>
  <c r="K8" i="20"/>
  <c r="N8" i="20"/>
  <c r="T73" i="4"/>
  <c r="B105" i="25"/>
  <c r="B105" i="19"/>
  <c r="T84" i="4"/>
  <c r="F30" i="18"/>
  <c r="F31" i="18" s="1"/>
  <c r="F79" i="18" s="1"/>
  <c r="F80" i="18"/>
  <c r="N153" i="19"/>
  <c r="L79" i="19"/>
  <c r="A34" i="25"/>
  <c r="K56" i="4"/>
  <c r="C19" i="20"/>
  <c r="C19" i="21"/>
  <c r="C17" i="18"/>
  <c r="C20" i="19"/>
  <c r="D128" i="27"/>
  <c r="N127" i="27"/>
  <c r="D48" i="27"/>
  <c r="D48" i="4" s="1"/>
  <c r="D51" i="27"/>
  <c r="D51" i="4" s="1"/>
  <c r="C113" i="18"/>
  <c r="T76" i="4"/>
  <c r="W76" i="4"/>
  <c r="E80" i="4"/>
  <c r="B39" i="18"/>
  <c r="B39" i="19" s="1"/>
  <c r="B39" i="20" s="1"/>
  <c r="B39" i="21" s="1"/>
  <c r="B39" i="25"/>
  <c r="U91" i="4"/>
  <c r="K29" i="20"/>
  <c r="N29" i="20"/>
  <c r="C20" i="25"/>
  <c r="F68" i="4"/>
  <c r="E68" i="4"/>
  <c r="G69" i="27"/>
  <c r="D68" i="19"/>
  <c r="C8" i="19"/>
  <c r="C8" i="18"/>
  <c r="C8" i="21"/>
  <c r="C8" i="25"/>
  <c r="G69" i="4"/>
  <c r="F69" i="4"/>
  <c r="I69" i="4"/>
  <c r="J69" i="4" s="1"/>
  <c r="E69" i="4"/>
  <c r="H69" i="4"/>
  <c r="B95" i="18"/>
  <c r="V90" i="4"/>
  <c r="B95" i="20"/>
  <c r="B112" i="18"/>
  <c r="C15" i="20"/>
  <c r="C98" i="19"/>
  <c r="C105" i="18"/>
  <c r="C105" i="20"/>
  <c r="C105" i="21" s="1"/>
  <c r="C98" i="25"/>
  <c r="C105" i="25"/>
  <c r="B95" i="25"/>
  <c r="B112" i="21"/>
  <c r="Y90" i="4"/>
  <c r="B112" i="20"/>
  <c r="V73" i="4"/>
  <c r="B19" i="25"/>
  <c r="C86" i="19"/>
  <c r="C17" i="19"/>
  <c r="Y86" i="4"/>
  <c r="X78" i="4"/>
  <c r="A9" i="18"/>
  <c r="Y73" i="18" s="1"/>
  <c r="W73" i="4"/>
  <c r="A29" i="25"/>
  <c r="A25" i="25"/>
  <c r="C17" i="21"/>
  <c r="Y73" i="4"/>
  <c r="C17" i="20"/>
  <c r="A96" i="25"/>
  <c r="B15" i="25"/>
  <c r="B33" i="25"/>
  <c r="K28" i="4"/>
  <c r="N28" i="4" s="1"/>
  <c r="B97" i="21"/>
  <c r="K144" i="19"/>
  <c r="C89" i="21"/>
  <c r="K138" i="4"/>
  <c r="N138" i="4" s="1"/>
  <c r="C89" i="25"/>
  <c r="A94" i="18"/>
  <c r="U84" i="18" s="1"/>
  <c r="C44" i="25"/>
  <c r="C100" i="19"/>
  <c r="P17" i="19"/>
  <c r="K97" i="4"/>
  <c r="N97" i="4" s="1"/>
  <c r="C44" i="21"/>
  <c r="U84" i="4"/>
  <c r="K150" i="18"/>
  <c r="K126" i="18"/>
  <c r="K41" i="18"/>
  <c r="N41" i="18"/>
  <c r="A94" i="25"/>
  <c r="C100" i="25"/>
  <c r="A46" i="25"/>
  <c r="C100" i="21"/>
  <c r="C89" i="18"/>
  <c r="C44" i="20"/>
  <c r="B86" i="19"/>
  <c r="B97" i="18"/>
  <c r="J166" i="4"/>
  <c r="J167" i="4"/>
  <c r="B111" i="20"/>
  <c r="K47" i="4"/>
  <c r="B111" i="19"/>
  <c r="B88" i="19"/>
  <c r="N144" i="21"/>
  <c r="K159" i="20"/>
  <c r="C104" i="18"/>
  <c r="K165" i="18"/>
  <c r="C104" i="25"/>
  <c r="K41" i="4"/>
  <c r="N41" i="4"/>
  <c r="W83" i="4"/>
  <c r="V80" i="4"/>
  <c r="A101" i="18"/>
  <c r="W91" i="18" s="1"/>
  <c r="A101" i="25"/>
  <c r="Y83" i="4"/>
  <c r="A93" i="25"/>
  <c r="D155" i="27"/>
  <c r="N133" i="27"/>
  <c r="A93" i="18"/>
  <c r="A93" i="19" s="1"/>
  <c r="Z83" i="19" s="1"/>
  <c r="A90" i="18"/>
  <c r="A90" i="19"/>
  <c r="X80" i="19" s="1"/>
  <c r="A90" i="25"/>
  <c r="T91" i="4"/>
  <c r="U75" i="4"/>
  <c r="V83" i="4"/>
  <c r="W80" i="4"/>
  <c r="G12" i="27"/>
  <c r="D146" i="27"/>
  <c r="X91" i="4"/>
  <c r="T83" i="4"/>
  <c r="Y80" i="4"/>
  <c r="Z91" i="4"/>
  <c r="Y91" i="4"/>
  <c r="W91" i="4"/>
  <c r="C99" i="25"/>
  <c r="X83" i="4"/>
  <c r="C99" i="19"/>
  <c r="X80" i="4"/>
  <c r="Z83" i="4"/>
  <c r="Z80" i="4"/>
  <c r="C56" i="21"/>
  <c r="K111" i="20"/>
  <c r="N111" i="20"/>
  <c r="B94" i="21"/>
  <c r="D67" i="20"/>
  <c r="T138" i="4"/>
  <c r="J172" i="4"/>
  <c r="J173" i="4"/>
  <c r="T127" i="4"/>
  <c r="J139" i="4"/>
  <c r="J140" i="4"/>
  <c r="N132" i="27"/>
  <c r="D109" i="18"/>
  <c r="K49" i="21"/>
  <c r="N49" i="21"/>
  <c r="K46" i="18"/>
  <c r="N46" i="18"/>
  <c r="J117" i="25"/>
  <c r="J9" i="25"/>
  <c r="P41" i="21"/>
  <c r="K38" i="20"/>
  <c r="N38" i="20" s="1"/>
  <c r="K117" i="21"/>
  <c r="N117" i="21" s="1"/>
  <c r="K115" i="21"/>
  <c r="N115" i="21" s="1"/>
  <c r="K101" i="21"/>
  <c r="N101" i="21"/>
  <c r="K99" i="21"/>
  <c r="K97" i="21"/>
  <c r="N97" i="21" s="1"/>
  <c r="K95" i="21"/>
  <c r="N95" i="21"/>
  <c r="K93" i="21"/>
  <c r="N93" i="21"/>
  <c r="K91" i="21"/>
  <c r="N91" i="21"/>
  <c r="K89" i="21"/>
  <c r="N89" i="21" s="1"/>
  <c r="K87" i="21"/>
  <c r="N87" i="21" s="1"/>
  <c r="K46" i="21"/>
  <c r="N46" i="21" s="1"/>
  <c r="E159" i="27"/>
  <c r="D155" i="18" s="1"/>
  <c r="K111" i="4"/>
  <c r="N111" i="4" s="1"/>
  <c r="K83" i="4"/>
  <c r="N83" i="4" s="1"/>
  <c r="K44" i="4"/>
  <c r="N44" i="4"/>
  <c r="K99" i="19"/>
  <c r="N99" i="19"/>
  <c r="K95" i="19"/>
  <c r="N95" i="19"/>
  <c r="K91" i="19"/>
  <c r="K87" i="19"/>
  <c r="N87" i="19" s="1"/>
  <c r="K117" i="20"/>
  <c r="N117" i="20" s="1"/>
  <c r="K105" i="20"/>
  <c r="N105" i="20"/>
  <c r="K99" i="20"/>
  <c r="N99" i="20" s="1"/>
  <c r="K95" i="20"/>
  <c r="N95" i="20"/>
  <c r="K91" i="20"/>
  <c r="N91" i="20" s="1"/>
  <c r="K39" i="20"/>
  <c r="N39" i="20"/>
  <c r="K10" i="20"/>
  <c r="N10" i="20"/>
  <c r="AA134" i="4"/>
  <c r="U134" i="4" s="1"/>
  <c r="AA138" i="4"/>
  <c r="J141" i="25"/>
  <c r="N141" i="25" s="1"/>
  <c r="J111" i="25"/>
  <c r="K100" i="18"/>
  <c r="N100" i="18"/>
  <c r="K96" i="18"/>
  <c r="N96" i="18"/>
  <c r="K92" i="18"/>
  <c r="N92" i="18" s="1"/>
  <c r="J83" i="25"/>
  <c r="K83" i="19"/>
  <c r="K34" i="19"/>
  <c r="N34" i="19" s="1"/>
  <c r="C48" i="20"/>
  <c r="C50" i="19"/>
  <c r="O137" i="27"/>
  <c r="L66" i="18"/>
  <c r="N146" i="27"/>
  <c r="N144" i="27"/>
  <c r="B28" i="18"/>
  <c r="B28" i="19" s="1"/>
  <c r="B28" i="20" s="1"/>
  <c r="B28" i="21" s="1"/>
  <c r="B20" i="25"/>
  <c r="B8" i="25"/>
  <c r="T128" i="27"/>
  <c r="D42" i="20"/>
  <c r="D143" i="27"/>
  <c r="C11" i="19"/>
  <c r="C11" i="18"/>
  <c r="C11" i="20"/>
  <c r="V77" i="4"/>
  <c r="M66" i="18"/>
  <c r="C111" i="18"/>
  <c r="D136" i="4"/>
  <c r="N136" i="4" s="1"/>
  <c r="D109" i="20"/>
  <c r="O28" i="21"/>
  <c r="O22" i="18"/>
  <c r="C11" i="25"/>
  <c r="B90" i="21"/>
  <c r="Z88" i="4"/>
  <c r="Y77" i="4"/>
  <c r="C50" i="21"/>
  <c r="B16" i="25"/>
  <c r="B18" i="18"/>
  <c r="B18" i="19" s="1"/>
  <c r="B18" i="20" s="1"/>
  <c r="B18" i="21" s="1"/>
  <c r="O50" i="20"/>
  <c r="K18" i="19"/>
  <c r="N18" i="19"/>
  <c r="Z86" i="4"/>
  <c r="T86" i="4"/>
  <c r="T75" i="4"/>
  <c r="U89" i="4"/>
  <c r="C55" i="19"/>
  <c r="B91" i="20"/>
  <c r="B46" i="18"/>
  <c r="B46" i="19" s="1"/>
  <c r="B46" i="20" s="1"/>
  <c r="B46" i="21" s="1"/>
  <c r="C15" i="21"/>
  <c r="B91" i="18"/>
  <c r="Z78" i="4"/>
  <c r="C94" i="25"/>
  <c r="N126" i="18"/>
  <c r="Y75" i="4"/>
  <c r="E80" i="20"/>
  <c r="A99" i="25"/>
  <c r="Y89" i="4"/>
  <c r="B88" i="25"/>
  <c r="B88" i="21"/>
  <c r="B91" i="21"/>
  <c r="X75" i="4"/>
  <c r="B91" i="19"/>
  <c r="C94" i="18"/>
  <c r="V86" i="4"/>
  <c r="W75" i="4"/>
  <c r="X89" i="4"/>
  <c r="C97" i="20"/>
  <c r="C55" i="25"/>
  <c r="C97" i="21"/>
  <c r="C46" i="21"/>
  <c r="B88" i="18"/>
  <c r="N135" i="20"/>
  <c r="U86" i="4"/>
  <c r="C46" i="18"/>
  <c r="C94" i="19"/>
  <c r="A99" i="18"/>
  <c r="T89" i="18" s="1"/>
  <c r="C97" i="25"/>
  <c r="C55" i="21"/>
  <c r="C86" i="18"/>
  <c r="B94" i="18"/>
  <c r="C94" i="21"/>
  <c r="C46" i="19"/>
  <c r="U78" i="4"/>
  <c r="W86" i="4"/>
  <c r="A11" i="25"/>
  <c r="C91" i="18"/>
  <c r="V89" i="4"/>
  <c r="C86" i="20"/>
  <c r="B107" i="21"/>
  <c r="C91" i="25"/>
  <c r="N138" i="21"/>
  <c r="V75" i="4"/>
  <c r="X86" i="4"/>
  <c r="W78" i="4"/>
  <c r="T78" i="4"/>
  <c r="Z75" i="4"/>
  <c r="C91" i="20"/>
  <c r="B94" i="25"/>
  <c r="A50" i="18"/>
  <c r="A50" i="19" s="1"/>
  <c r="A50" i="20" s="1"/>
  <c r="A50" i="21" s="1"/>
  <c r="C22" i="19"/>
  <c r="U80" i="18"/>
  <c r="Y88" i="4"/>
  <c r="W77" i="4"/>
  <c r="B106" i="18"/>
  <c r="A38" i="25"/>
  <c r="K165" i="19"/>
  <c r="K126" i="21"/>
  <c r="N150" i="21"/>
  <c r="K174" i="21"/>
  <c r="O29" i="19"/>
  <c r="O20" i="4"/>
  <c r="N144" i="20"/>
  <c r="K168" i="20"/>
  <c r="V85" i="18"/>
  <c r="B106" i="20"/>
  <c r="A87" i="25"/>
  <c r="V88" i="4"/>
  <c r="Z77" i="4"/>
  <c r="A98" i="25"/>
  <c r="N123" i="19"/>
  <c r="K171" i="19"/>
  <c r="B45" i="18"/>
  <c r="B45" i="19" s="1"/>
  <c r="B45" i="20" s="1"/>
  <c r="B45" i="21" s="1"/>
  <c r="T85" i="18"/>
  <c r="X77" i="4"/>
  <c r="B90" i="18"/>
  <c r="A98" i="18"/>
  <c r="Y88" i="18" s="1"/>
  <c r="K16" i="4"/>
  <c r="N16" i="4" s="1"/>
  <c r="K115" i="18"/>
  <c r="N115" i="18" s="1"/>
  <c r="M4" i="25"/>
  <c r="B90" i="25"/>
  <c r="C48" i="18"/>
  <c r="U88" i="4"/>
  <c r="U77" i="4"/>
  <c r="C50" i="25"/>
  <c r="B106" i="19"/>
  <c r="B90" i="19"/>
  <c r="X88" i="4"/>
  <c r="C50" i="18"/>
  <c r="T77" i="4"/>
  <c r="B106" i="25"/>
  <c r="C111" i="20"/>
  <c r="C111" i="21" s="1"/>
  <c r="K33" i="18"/>
  <c r="N33" i="18" s="1"/>
  <c r="K113" i="20"/>
  <c r="N113" i="20" s="1"/>
  <c r="Y87" i="18"/>
  <c r="O29" i="20"/>
  <c r="N174" i="18"/>
  <c r="K168" i="19"/>
  <c r="X80" i="18"/>
  <c r="K17" i="19"/>
  <c r="N17" i="19"/>
  <c r="O29" i="4"/>
  <c r="J165" i="25"/>
  <c r="K165" i="25" s="1"/>
  <c r="K35" i="18"/>
  <c r="N35" i="18"/>
  <c r="O41" i="21"/>
  <c r="Y80" i="18"/>
  <c r="O29" i="21"/>
  <c r="J147" i="25"/>
  <c r="K147" i="25" s="1"/>
  <c r="K162" i="18"/>
  <c r="N147" i="18"/>
  <c r="N123" i="18"/>
  <c r="K171" i="20"/>
  <c r="M109" i="25"/>
  <c r="J36" i="18"/>
  <c r="K113" i="19"/>
  <c r="N113" i="19" s="1"/>
  <c r="K153" i="18"/>
  <c r="K177" i="18"/>
  <c r="N165" i="21"/>
  <c r="K150" i="21"/>
  <c r="K162" i="21"/>
  <c r="N174" i="21"/>
  <c r="O28" i="20"/>
  <c r="K94" i="21"/>
  <c r="N94" i="21"/>
  <c r="K90" i="21"/>
  <c r="K86" i="21"/>
  <c r="N86" i="21"/>
  <c r="K38" i="21"/>
  <c r="N38" i="21"/>
  <c r="P19" i="18"/>
  <c r="K156" i="21"/>
  <c r="N168" i="21"/>
  <c r="N180" i="21"/>
  <c r="N126" i="21"/>
  <c r="K29" i="21"/>
  <c r="N29" i="21" s="1"/>
  <c r="M71" i="20"/>
  <c r="M23" i="20"/>
  <c r="J144" i="25"/>
  <c r="K144" i="25" s="1"/>
  <c r="K50" i="20"/>
  <c r="N50" i="20"/>
  <c r="K144" i="20"/>
  <c r="G80" i="20"/>
  <c r="K21" i="20"/>
  <c r="N21" i="20" s="1"/>
  <c r="N168" i="20"/>
  <c r="K86" i="20"/>
  <c r="N86" i="20" s="1"/>
  <c r="K11" i="20"/>
  <c r="N11" i="20"/>
  <c r="K15" i="19"/>
  <c r="N15" i="19" s="1"/>
  <c r="J126" i="25"/>
  <c r="J150" i="25"/>
  <c r="K150" i="25"/>
  <c r="K123" i="19"/>
  <c r="K153" i="19"/>
  <c r="J171" i="25"/>
  <c r="K171" i="25"/>
  <c r="P50" i="19"/>
  <c r="G120" i="25"/>
  <c r="I102" i="25"/>
  <c r="P9" i="19"/>
  <c r="K50" i="19"/>
  <c r="N50" i="19" s="1"/>
  <c r="F52" i="19"/>
  <c r="K159" i="19"/>
  <c r="N135" i="19"/>
  <c r="K101" i="19"/>
  <c r="N101" i="19" s="1"/>
  <c r="K97" i="19"/>
  <c r="N97" i="19"/>
  <c r="G52" i="19"/>
  <c r="J154" i="4"/>
  <c r="J155" i="4" s="1"/>
  <c r="U132" i="4"/>
  <c r="AA132" i="4"/>
  <c r="J154" i="18" s="1"/>
  <c r="J155" i="18" s="1"/>
  <c r="O28" i="4"/>
  <c r="B96" i="18"/>
  <c r="J42" i="4"/>
  <c r="A32" i="18"/>
  <c r="A32" i="19" s="1"/>
  <c r="A32" i="20" s="1"/>
  <c r="A32" i="21" s="1"/>
  <c r="P11" i="4"/>
  <c r="K94" i="4"/>
  <c r="N94" i="4" s="1"/>
  <c r="K91" i="4"/>
  <c r="N91" i="4" s="1"/>
  <c r="K20" i="4"/>
  <c r="N20" i="4"/>
  <c r="K11" i="4"/>
  <c r="N11" i="4" s="1"/>
  <c r="K8" i="4"/>
  <c r="N8" i="4" s="1"/>
  <c r="J95" i="25"/>
  <c r="J91" i="25"/>
  <c r="J138" i="25"/>
  <c r="O28" i="18"/>
  <c r="N150" i="20"/>
  <c r="B10" i="25"/>
  <c r="K174" i="4"/>
  <c r="N174" i="4" s="1"/>
  <c r="P11" i="21"/>
  <c r="K111" i="19"/>
  <c r="N111" i="19" s="1"/>
  <c r="C22" i="20"/>
  <c r="T122" i="4"/>
  <c r="Y91" i="18"/>
  <c r="J34" i="25"/>
  <c r="A23" i="18"/>
  <c r="A23" i="19"/>
  <c r="A23" i="20" s="1"/>
  <c r="A23" i="21" s="1"/>
  <c r="N129" i="18"/>
  <c r="J109" i="4"/>
  <c r="K109" i="4" s="1"/>
  <c r="N109" i="4" s="1"/>
  <c r="K98" i="4"/>
  <c r="C22" i="18"/>
  <c r="C22" i="21"/>
  <c r="G52" i="4"/>
  <c r="P34" i="18"/>
  <c r="N141" i="18"/>
  <c r="AA130" i="4"/>
  <c r="P34" i="4"/>
  <c r="K117" i="4"/>
  <c r="N117" i="4" s="1"/>
  <c r="K92" i="4"/>
  <c r="N92" i="4" s="1"/>
  <c r="K89" i="4"/>
  <c r="N89" i="4" s="1"/>
  <c r="I42" i="25"/>
  <c r="J28" i="25"/>
  <c r="K153" i="4"/>
  <c r="N153" i="4" s="1"/>
  <c r="P20" i="4"/>
  <c r="Y139" i="4"/>
  <c r="K19" i="4"/>
  <c r="N19" i="4" s="1"/>
  <c r="O28" i="19"/>
  <c r="P34" i="20"/>
  <c r="B93" i="21"/>
  <c r="A49" i="25"/>
  <c r="K34" i="4"/>
  <c r="N34" i="4"/>
  <c r="K18" i="4"/>
  <c r="N18" i="4" s="1"/>
  <c r="P34" i="21"/>
  <c r="E120" i="25"/>
  <c r="T132" i="4"/>
  <c r="K107" i="4"/>
  <c r="N107" i="4" s="1"/>
  <c r="K90" i="4"/>
  <c r="N90" i="4" s="1"/>
  <c r="P9" i="20"/>
  <c r="K159" i="18"/>
  <c r="J130" i="18"/>
  <c r="J131" i="18"/>
  <c r="E183" i="25"/>
  <c r="J87" i="25"/>
  <c r="K107" i="18"/>
  <c r="N107" i="18" s="1"/>
  <c r="K99" i="18"/>
  <c r="N99" i="18" s="1"/>
  <c r="K95" i="18"/>
  <c r="N95" i="18"/>
  <c r="K91" i="18"/>
  <c r="N91" i="18"/>
  <c r="K87" i="18"/>
  <c r="N87" i="18"/>
  <c r="K20" i="18"/>
  <c r="N20" i="18" s="1"/>
  <c r="N171" i="18"/>
  <c r="J102" i="18"/>
  <c r="K135" i="18"/>
  <c r="K106" i="18"/>
  <c r="N106" i="18" s="1"/>
  <c r="K98" i="18"/>
  <c r="N98" i="18" s="1"/>
  <c r="K94" i="18"/>
  <c r="N94" i="18"/>
  <c r="K90" i="18"/>
  <c r="N90" i="18" s="1"/>
  <c r="K86" i="18"/>
  <c r="P9" i="18"/>
  <c r="K16" i="18"/>
  <c r="N16" i="18"/>
  <c r="P9" i="4"/>
  <c r="P9" i="21"/>
  <c r="K88" i="18"/>
  <c r="W87" i="18"/>
  <c r="B96" i="21"/>
  <c r="N144" i="19"/>
  <c r="K174" i="18"/>
  <c r="D185" i="27"/>
  <c r="H83" i="27"/>
  <c r="D80" i="21" s="1"/>
  <c r="A97" i="19"/>
  <c r="T87" i="19" s="1"/>
  <c r="V87" i="18"/>
  <c r="S6" i="4"/>
  <c r="D109" i="21"/>
  <c r="D30" i="27"/>
  <c r="D137" i="27"/>
  <c r="U87" i="18"/>
  <c r="E36" i="25"/>
  <c r="C58" i="19"/>
  <c r="O10" i="20"/>
  <c r="C58" i="21"/>
  <c r="E140" i="27"/>
  <c r="D42" i="21"/>
  <c r="B9" i="25"/>
  <c r="C47" i="21"/>
  <c r="Z87" i="18"/>
  <c r="C90" i="25"/>
  <c r="C49" i="21"/>
  <c r="O10" i="18"/>
  <c r="E48" i="27"/>
  <c r="C47" i="25"/>
  <c r="C47" i="19"/>
  <c r="O10" i="19"/>
  <c r="B93" i="20"/>
  <c r="K147" i="20"/>
  <c r="B96" i="19"/>
  <c r="B87" i="21"/>
  <c r="N168" i="19"/>
  <c r="T130" i="27"/>
  <c r="E137" i="27" s="1"/>
  <c r="D133" i="18" s="1"/>
  <c r="D149" i="27"/>
  <c r="C90" i="21"/>
  <c r="C49" i="20"/>
  <c r="C90" i="18"/>
  <c r="B96" i="25"/>
  <c r="B87" i="25"/>
  <c r="N162" i="20"/>
  <c r="C47" i="18"/>
  <c r="X87" i="18"/>
  <c r="B93" i="18"/>
  <c r="B44" i="18"/>
  <c r="B44" i="19" s="1"/>
  <c r="B44" i="20" s="1"/>
  <c r="B44" i="21" s="1"/>
  <c r="E80" i="18"/>
  <c r="O128" i="27"/>
  <c r="C90" i="20"/>
  <c r="Y79" i="4"/>
  <c r="V79" i="4"/>
  <c r="O10" i="4"/>
  <c r="K123" i="20"/>
  <c r="C87" i="25"/>
  <c r="A41" i="25"/>
  <c r="K112" i="21"/>
  <c r="N112" i="21" s="1"/>
  <c r="C49" i="18"/>
  <c r="C58" i="18"/>
  <c r="C89" i="20"/>
  <c r="C46" i="25"/>
  <c r="A39" i="25"/>
  <c r="A48" i="25"/>
  <c r="B41" i="18"/>
  <c r="B41" i="19" s="1"/>
  <c r="B41" i="20" s="1"/>
  <c r="B41" i="21" s="1"/>
  <c r="O45" i="18"/>
  <c r="C49" i="25"/>
  <c r="B99" i="18"/>
  <c r="A26" i="25"/>
  <c r="E42" i="25"/>
  <c r="C58" i="20"/>
  <c r="C99" i="20"/>
  <c r="K49" i="18"/>
  <c r="N49" i="18"/>
  <c r="C96" i="20"/>
  <c r="N138" i="20"/>
  <c r="K28" i="19"/>
  <c r="N28" i="19" s="1"/>
  <c r="B93" i="19"/>
  <c r="O10" i="21"/>
  <c r="B87" i="18"/>
  <c r="C101" i="18"/>
  <c r="O16" i="4"/>
  <c r="B87" i="20"/>
  <c r="B34" i="25"/>
  <c r="P56" i="21"/>
  <c r="Q56" i="21" s="1"/>
  <c r="A43" i="18"/>
  <c r="A43" i="19" s="1"/>
  <c r="A43" i="20" s="1"/>
  <c r="A43" i="21" s="1"/>
  <c r="D48" i="20"/>
  <c r="C88" i="18"/>
  <c r="C88" i="25"/>
  <c r="C88" i="20"/>
  <c r="C88" i="19"/>
  <c r="C57" i="25"/>
  <c r="C57" i="21"/>
  <c r="C57" i="20"/>
  <c r="C57" i="18"/>
  <c r="C57" i="19"/>
  <c r="A47" i="25"/>
  <c r="A47" i="18"/>
  <c r="A47" i="19" s="1"/>
  <c r="A47" i="20" s="1"/>
  <c r="A47" i="21" s="1"/>
  <c r="C45" i="21"/>
  <c r="C45" i="19"/>
  <c r="C45" i="25"/>
  <c r="C45" i="18"/>
  <c r="A33" i="25"/>
  <c r="A33" i="18"/>
  <c r="A33" i="19" s="1"/>
  <c r="A33" i="20" s="1"/>
  <c r="A33" i="21"/>
  <c r="A24" i="25"/>
  <c r="A24" i="18"/>
  <c r="A24" i="19"/>
  <c r="A24" i="20"/>
  <c r="A24" i="21" s="1"/>
  <c r="A21" i="18"/>
  <c r="A21" i="19" s="1"/>
  <c r="A21" i="20" s="1"/>
  <c r="A21" i="21" s="1"/>
  <c r="A21" i="25"/>
  <c r="A17" i="18"/>
  <c r="A17" i="19"/>
  <c r="A17" i="20" s="1"/>
  <c r="A17" i="21" s="1"/>
  <c r="A17" i="25"/>
  <c r="A15" i="18"/>
  <c r="A15" i="19" s="1"/>
  <c r="A15" i="20" s="1"/>
  <c r="A15" i="21" s="1"/>
  <c r="A15" i="25"/>
  <c r="C10" i="19"/>
  <c r="C10" i="25"/>
  <c r="C10" i="21"/>
  <c r="C10" i="18"/>
  <c r="C10" i="20"/>
  <c r="K47" i="18"/>
  <c r="N47" i="18"/>
  <c r="O47" i="20"/>
  <c r="O47" i="18"/>
  <c r="O47" i="19"/>
  <c r="O47" i="4"/>
  <c r="O47" i="21"/>
  <c r="O41" i="20"/>
  <c r="O41" i="4"/>
  <c r="O41" i="18"/>
  <c r="O41" i="19"/>
  <c r="O22" i="20"/>
  <c r="O22" i="19"/>
  <c r="K22" i="18"/>
  <c r="N22" i="18"/>
  <c r="O22" i="4"/>
  <c r="O22" i="21"/>
  <c r="K17" i="18"/>
  <c r="N17" i="18"/>
  <c r="E167" i="27"/>
  <c r="D163" i="18" s="1"/>
  <c r="O140" i="27"/>
  <c r="T135" i="27"/>
  <c r="N135" i="27"/>
  <c r="D152" i="27"/>
  <c r="D12" i="19"/>
  <c r="F13" i="27"/>
  <c r="T138" i="27"/>
  <c r="N138" i="27"/>
  <c r="E185" i="27"/>
  <c r="E23" i="20"/>
  <c r="D12" i="20"/>
  <c r="G13" i="27"/>
  <c r="G51" i="27"/>
  <c r="D102" i="19"/>
  <c r="O139" i="27"/>
  <c r="E164" i="27"/>
  <c r="W139" i="27"/>
  <c r="X139" i="27" s="1"/>
  <c r="H164" i="27" s="1"/>
  <c r="D160" i="21" s="1"/>
  <c r="F48" i="27"/>
  <c r="D183" i="19"/>
  <c r="O136" i="27"/>
  <c r="D109" i="19"/>
  <c r="I112" i="27"/>
  <c r="D109" i="25" s="1"/>
  <c r="D124" i="4"/>
  <c r="N124" i="4" s="1"/>
  <c r="D129" i="27"/>
  <c r="D125" i="4" s="1"/>
  <c r="N125" i="4" s="1"/>
  <c r="Y85" i="18"/>
  <c r="D31" i="27"/>
  <c r="D30" i="4"/>
  <c r="D169" i="4"/>
  <c r="N169" i="4"/>
  <c r="D174" i="27"/>
  <c r="U136" i="27"/>
  <c r="W136" i="27" s="1"/>
  <c r="Q136" i="27" s="1"/>
  <c r="D157" i="4"/>
  <c r="N157" i="4"/>
  <c r="D162" i="27"/>
  <c r="T143" i="27"/>
  <c r="D176" i="27"/>
  <c r="A95" i="19"/>
  <c r="X85" i="19" s="1"/>
  <c r="W137" i="27"/>
  <c r="X137" i="27" s="1"/>
  <c r="H158" i="27" s="1"/>
  <c r="H159" i="27" s="1"/>
  <c r="P137" i="27"/>
  <c r="H31" i="27"/>
  <c r="H82" i="27" s="1"/>
  <c r="D30" i="21"/>
  <c r="U85" i="18"/>
  <c r="E155" i="27"/>
  <c r="O130" i="27"/>
  <c r="N10" i="27"/>
  <c r="E51" i="27"/>
  <c r="E52" i="27" s="1"/>
  <c r="I84" i="27"/>
  <c r="D81" i="25" s="1"/>
  <c r="O21" i="20"/>
  <c r="N139" i="27"/>
  <c r="U141" i="27"/>
  <c r="T134" i="27"/>
  <c r="O40" i="18"/>
  <c r="T144" i="27"/>
  <c r="D164" i="27"/>
  <c r="D170" i="27"/>
  <c r="K174" i="20"/>
  <c r="K132" i="20"/>
  <c r="N156" i="20"/>
  <c r="K180" i="20"/>
  <c r="U140" i="27"/>
  <c r="W140" i="27" s="1"/>
  <c r="G167" i="27" s="1"/>
  <c r="K132" i="19"/>
  <c r="J149" i="4"/>
  <c r="AA128" i="4"/>
  <c r="J142" i="4"/>
  <c r="T128" i="4"/>
  <c r="G79" i="4"/>
  <c r="I71" i="4"/>
  <c r="I23" i="4"/>
  <c r="AA123" i="4"/>
  <c r="AB123" i="4"/>
  <c r="J127" i="19" s="1"/>
  <c r="J128" i="19" s="1"/>
  <c r="T123" i="4"/>
  <c r="J127" i="4"/>
  <c r="J128" i="4"/>
  <c r="K128" i="4" s="1"/>
  <c r="J163" i="4"/>
  <c r="AA135" i="4"/>
  <c r="AB135" i="4" s="1"/>
  <c r="V135" i="4" s="1"/>
  <c r="T135" i="4"/>
  <c r="F52" i="4"/>
  <c r="J169" i="4"/>
  <c r="T137" i="4"/>
  <c r="E52" i="4"/>
  <c r="E79" i="4"/>
  <c r="J31" i="4"/>
  <c r="J79" i="4" s="1"/>
  <c r="F23" i="4"/>
  <c r="F71" i="4"/>
  <c r="AA126" i="4"/>
  <c r="U126" i="4"/>
  <c r="J136" i="4"/>
  <c r="K136" i="4" s="1"/>
  <c r="I79" i="4"/>
  <c r="E13" i="4"/>
  <c r="J158" i="4"/>
  <c r="AA140" i="4"/>
  <c r="J178" i="18" s="1"/>
  <c r="J179" i="18" s="1"/>
  <c r="J178" i="4"/>
  <c r="J179" i="4" s="1"/>
  <c r="T140" i="4"/>
  <c r="O21" i="21"/>
  <c r="B99" i="25"/>
  <c r="B86" i="18"/>
  <c r="A92" i="18"/>
  <c r="T82" i="18"/>
  <c r="K150" i="20"/>
  <c r="A18" i="18"/>
  <c r="A18" i="19" s="1"/>
  <c r="A18" i="20" s="1"/>
  <c r="A18" i="21" s="1"/>
  <c r="B86" i="21"/>
  <c r="C96" i="19"/>
  <c r="C29" i="25"/>
  <c r="J174" i="25"/>
  <c r="K174" i="25" s="1"/>
  <c r="T130" i="4"/>
  <c r="H79" i="4"/>
  <c r="K21" i="4"/>
  <c r="C29" i="18"/>
  <c r="K114" i="4"/>
  <c r="N114" i="4"/>
  <c r="K104" i="4"/>
  <c r="N104" i="4" s="1"/>
  <c r="K100" i="4"/>
  <c r="N100" i="4"/>
  <c r="K87" i="4"/>
  <c r="N87" i="4" s="1"/>
  <c r="C55" i="18"/>
  <c r="K33" i="4"/>
  <c r="J119" i="25"/>
  <c r="J50" i="25"/>
  <c r="C16" i="18"/>
  <c r="K177" i="4"/>
  <c r="N177" i="4" s="1"/>
  <c r="M71" i="4"/>
  <c r="O18" i="20"/>
  <c r="B99" i="20"/>
  <c r="B86" i="25"/>
  <c r="U74" i="4"/>
  <c r="V82" i="4"/>
  <c r="K9" i="20"/>
  <c r="N9" i="20" s="1"/>
  <c r="K57" i="4"/>
  <c r="N174" i="20"/>
  <c r="C96" i="21"/>
  <c r="C93" i="18"/>
  <c r="C106" i="20"/>
  <c r="C106" i="21"/>
  <c r="P21" i="21"/>
  <c r="J21" i="25"/>
  <c r="AA122" i="4"/>
  <c r="U122" i="4" s="1"/>
  <c r="F79" i="20"/>
  <c r="B89" i="18"/>
  <c r="B99" i="19"/>
  <c r="J135" i="25"/>
  <c r="J120" i="21"/>
  <c r="K9" i="4"/>
  <c r="N9" i="4" s="1"/>
  <c r="O50" i="21"/>
  <c r="H52" i="18"/>
  <c r="J30" i="4"/>
  <c r="T74" i="4"/>
  <c r="Y82" i="4"/>
  <c r="N162" i="18"/>
  <c r="B48" i="25"/>
  <c r="C96" i="18"/>
  <c r="C93" i="25"/>
  <c r="C93" i="21"/>
  <c r="A108" i="18"/>
  <c r="A108" i="19" s="1"/>
  <c r="A108" i="20" s="1"/>
  <c r="A108" i="21" s="1"/>
  <c r="C106" i="18"/>
  <c r="P21" i="18"/>
  <c r="B89" i="19"/>
  <c r="J162" i="25"/>
  <c r="K162" i="25" s="1"/>
  <c r="K126" i="20"/>
  <c r="T133" i="4"/>
  <c r="B113" i="19"/>
  <c r="V74" i="4"/>
  <c r="W82" i="4"/>
  <c r="M67" i="18"/>
  <c r="O21" i="19"/>
  <c r="C93" i="20"/>
  <c r="C106" i="19"/>
  <c r="B89" i="21"/>
  <c r="A27" i="18"/>
  <c r="A27" i="19" s="1"/>
  <c r="A27" i="20" s="1"/>
  <c r="A27" i="21" s="1"/>
  <c r="A40" i="25"/>
  <c r="J124" i="4"/>
  <c r="J125" i="4" s="1"/>
  <c r="K135" i="4"/>
  <c r="K115" i="4"/>
  <c r="K101" i="4"/>
  <c r="N101" i="4" s="1"/>
  <c r="K95" i="4"/>
  <c r="K88" i="4"/>
  <c r="N88" i="4" s="1"/>
  <c r="J97" i="25"/>
  <c r="J120" i="19"/>
  <c r="B113" i="20"/>
  <c r="C16" i="20"/>
  <c r="Z74" i="4"/>
  <c r="Z82" i="4"/>
  <c r="X74" i="4"/>
  <c r="B89" i="25"/>
  <c r="K56" i="18"/>
  <c r="AA127" i="4"/>
  <c r="AB127" i="4"/>
  <c r="AC127" i="4" s="1"/>
  <c r="J123" i="25"/>
  <c r="N138" i="18"/>
  <c r="J17" i="25"/>
  <c r="C16" i="19"/>
  <c r="P56" i="18"/>
  <c r="Q56" i="18"/>
  <c r="U82" i="4"/>
  <c r="A10" i="18"/>
  <c r="A42" i="25"/>
  <c r="AA131" i="4"/>
  <c r="J151" i="18" s="1"/>
  <c r="T126" i="4"/>
  <c r="J48" i="4"/>
  <c r="K48" i="4" s="1"/>
  <c r="J183" i="4"/>
  <c r="K50" i="4"/>
  <c r="N50" i="4" s="1"/>
  <c r="K162" i="4"/>
  <c r="N162" i="4" s="1"/>
  <c r="Y74" i="4"/>
  <c r="J151" i="4"/>
  <c r="J152" i="4" s="1"/>
  <c r="K106" i="4"/>
  <c r="N106" i="4" s="1"/>
  <c r="K35" i="4"/>
  <c r="N35" i="4"/>
  <c r="L42" i="25"/>
  <c r="N126" i="20"/>
  <c r="F71" i="18"/>
  <c r="F23" i="18"/>
  <c r="J12" i="18"/>
  <c r="I52" i="18"/>
  <c r="G52" i="18"/>
  <c r="Y77" i="18"/>
  <c r="I80" i="18"/>
  <c r="O16" i="21"/>
  <c r="P45" i="19"/>
  <c r="K119" i="18"/>
  <c r="N119" i="18" s="1"/>
  <c r="K101" i="18"/>
  <c r="K97" i="18"/>
  <c r="N97" i="18" s="1"/>
  <c r="K93" i="18"/>
  <c r="N93" i="18"/>
  <c r="K89" i="18"/>
  <c r="O50" i="4"/>
  <c r="W77" i="18"/>
  <c r="O16" i="20"/>
  <c r="O16" i="18"/>
  <c r="P56" i="4"/>
  <c r="Q56" i="4" s="1"/>
  <c r="K19" i="18"/>
  <c r="N19" i="18" s="1"/>
  <c r="P20" i="21"/>
  <c r="J120" i="18"/>
  <c r="A87" i="19"/>
  <c r="Z77" i="19" s="1"/>
  <c r="E56" i="25"/>
  <c r="O35" i="21"/>
  <c r="O50" i="19"/>
  <c r="J115" i="25"/>
  <c r="J105" i="25"/>
  <c r="Z77" i="18"/>
  <c r="J160" i="18"/>
  <c r="N135" i="18"/>
  <c r="O50" i="18"/>
  <c r="Z85" i="18"/>
  <c r="K105" i="18"/>
  <c r="N105" i="18"/>
  <c r="K123" i="18"/>
  <c r="K117" i="18"/>
  <c r="P46" i="21"/>
  <c r="U77" i="18"/>
  <c r="P56" i="19"/>
  <c r="Q56" i="19"/>
  <c r="P56" i="20"/>
  <c r="Q56" i="20" s="1"/>
  <c r="K147" i="18"/>
  <c r="P45" i="4"/>
  <c r="K104" i="18"/>
  <c r="N104" i="18" s="1"/>
  <c r="J86" i="25"/>
  <c r="AB134" i="4"/>
  <c r="V134" i="4"/>
  <c r="O16" i="19"/>
  <c r="M23" i="19"/>
  <c r="M71" i="19"/>
  <c r="L23" i="19"/>
  <c r="L71" i="19"/>
  <c r="H52" i="19"/>
  <c r="H71" i="19"/>
  <c r="H23" i="19"/>
  <c r="G23" i="19"/>
  <c r="G71" i="19"/>
  <c r="E52" i="19"/>
  <c r="J48" i="19"/>
  <c r="K116" i="19"/>
  <c r="N116" i="19"/>
  <c r="K105" i="19"/>
  <c r="N105" i="19"/>
  <c r="K46" i="19"/>
  <c r="F102" i="25"/>
  <c r="J51" i="19"/>
  <c r="N150" i="19"/>
  <c r="K126" i="19"/>
  <c r="N174" i="19"/>
  <c r="P46" i="20"/>
  <c r="K10" i="19"/>
  <c r="N10" i="19" s="1"/>
  <c r="P20" i="20"/>
  <c r="J118" i="25"/>
  <c r="J114" i="25"/>
  <c r="J106" i="25"/>
  <c r="G51" i="25"/>
  <c r="J46" i="25"/>
  <c r="P41" i="4"/>
  <c r="P19" i="21"/>
  <c r="P16" i="4"/>
  <c r="I71" i="19"/>
  <c r="J20" i="25"/>
  <c r="P20" i="18"/>
  <c r="K119" i="19"/>
  <c r="K115" i="19"/>
  <c r="N115" i="19"/>
  <c r="K108" i="19"/>
  <c r="N108" i="19"/>
  <c r="K104" i="19"/>
  <c r="N104" i="19" s="1"/>
  <c r="K45" i="19"/>
  <c r="N45" i="19" s="1"/>
  <c r="K41" i="19"/>
  <c r="N41" i="19"/>
  <c r="K19" i="19"/>
  <c r="N19" i="19"/>
  <c r="K9" i="19"/>
  <c r="N9" i="19"/>
  <c r="F80" i="19"/>
  <c r="J80" i="19" s="1"/>
  <c r="K80" i="19" s="1"/>
  <c r="N80" i="19" s="1"/>
  <c r="G36" i="25"/>
  <c r="J36" i="19"/>
  <c r="K93" i="19"/>
  <c r="N93" i="19"/>
  <c r="K89" i="19"/>
  <c r="N89" i="19" s="1"/>
  <c r="K22" i="19"/>
  <c r="N22" i="19" s="1"/>
  <c r="J101" i="25"/>
  <c r="J93" i="25"/>
  <c r="J89" i="25"/>
  <c r="K118" i="19"/>
  <c r="K114" i="19"/>
  <c r="N114" i="19" s="1"/>
  <c r="K107" i="19"/>
  <c r="N107" i="19" s="1"/>
  <c r="F42" i="25"/>
  <c r="K20" i="19"/>
  <c r="N20" i="19"/>
  <c r="K39" i="19"/>
  <c r="N39" i="19" s="1"/>
  <c r="P20" i="19"/>
  <c r="J104" i="25"/>
  <c r="K156" i="19"/>
  <c r="J42" i="19"/>
  <c r="K42" i="19" s="1"/>
  <c r="N42" i="19" s="1"/>
  <c r="K117" i="19"/>
  <c r="N117" i="19"/>
  <c r="K106" i="19"/>
  <c r="N106" i="19" s="1"/>
  <c r="K11" i="19"/>
  <c r="N11" i="19"/>
  <c r="F13" i="20"/>
  <c r="J48" i="20"/>
  <c r="E52" i="20"/>
  <c r="G48" i="25"/>
  <c r="G52" i="20"/>
  <c r="L12" i="25"/>
  <c r="L13" i="20"/>
  <c r="I23" i="20"/>
  <c r="I71" i="20"/>
  <c r="P58" i="18"/>
  <c r="Q58" i="18"/>
  <c r="K34" i="20"/>
  <c r="N34" i="20" s="1"/>
  <c r="P46" i="19"/>
  <c r="J158" i="20"/>
  <c r="P46" i="18"/>
  <c r="J19" i="25"/>
  <c r="N132" i="20"/>
  <c r="K118" i="20"/>
  <c r="N118" i="20" s="1"/>
  <c r="K114" i="20"/>
  <c r="N114" i="20" s="1"/>
  <c r="K106" i="20"/>
  <c r="N106" i="20" s="1"/>
  <c r="K101" i="20"/>
  <c r="N101" i="20" s="1"/>
  <c r="K97" i="20"/>
  <c r="K93" i="20"/>
  <c r="N93" i="20" s="1"/>
  <c r="K89" i="20"/>
  <c r="N89" i="20" s="1"/>
  <c r="K41" i="20"/>
  <c r="N41" i="20"/>
  <c r="K19" i="20"/>
  <c r="N19" i="20"/>
  <c r="K16" i="20"/>
  <c r="H51" i="25"/>
  <c r="P44" i="4"/>
  <c r="P58" i="19"/>
  <c r="Q58" i="19"/>
  <c r="E58" i="25"/>
  <c r="P46" i="4"/>
  <c r="P41" i="19"/>
  <c r="O38" i="4"/>
  <c r="J42" i="20"/>
  <c r="K100" i="20"/>
  <c r="N100" i="20" s="1"/>
  <c r="K96" i="20"/>
  <c r="K92" i="20"/>
  <c r="K88" i="20"/>
  <c r="N88" i="20" s="1"/>
  <c r="K15" i="20"/>
  <c r="P19" i="20"/>
  <c r="P16" i="18"/>
  <c r="N183" i="20"/>
  <c r="J41" i="25"/>
  <c r="O38" i="19"/>
  <c r="H109" i="25"/>
  <c r="P41" i="20"/>
  <c r="J36" i="20"/>
  <c r="K36" i="20"/>
  <c r="N36" i="20" s="1"/>
  <c r="O38" i="18"/>
  <c r="P58" i="4"/>
  <c r="Q58" i="4" s="1"/>
  <c r="K156" i="20"/>
  <c r="P58" i="21"/>
  <c r="Q58" i="21"/>
  <c r="P19" i="4"/>
  <c r="P41" i="18"/>
  <c r="K87" i="20"/>
  <c r="N87" i="20"/>
  <c r="N180" i="20"/>
  <c r="O38" i="20"/>
  <c r="K46" i="20"/>
  <c r="N46" i="20" s="1"/>
  <c r="P58" i="20"/>
  <c r="Q58" i="20" s="1"/>
  <c r="P19" i="19"/>
  <c r="H183" i="25"/>
  <c r="J102" i="20"/>
  <c r="J107" i="25"/>
  <c r="J159" i="25"/>
  <c r="K159" i="25" s="1"/>
  <c r="H23" i="20"/>
  <c r="K119" i="20"/>
  <c r="N119" i="20" s="1"/>
  <c r="K115" i="20"/>
  <c r="N115" i="20"/>
  <c r="K98" i="20"/>
  <c r="N98" i="20"/>
  <c r="K94" i="20"/>
  <c r="N94" i="20" s="1"/>
  <c r="K90" i="20"/>
  <c r="N90" i="20" s="1"/>
  <c r="K47" i="20"/>
  <c r="M36" i="25"/>
  <c r="P21" i="4"/>
  <c r="L23" i="21"/>
  <c r="L71" i="21"/>
  <c r="E13" i="21"/>
  <c r="E23" i="21" s="1"/>
  <c r="J12" i="21"/>
  <c r="M52" i="21"/>
  <c r="M48" i="25"/>
  <c r="F79" i="21"/>
  <c r="J48" i="21"/>
  <c r="F52" i="21"/>
  <c r="F48" i="25"/>
  <c r="H48" i="25"/>
  <c r="H52" i="21"/>
  <c r="I48" i="25"/>
  <c r="I52" i="21"/>
  <c r="O33" i="20"/>
  <c r="J16" i="25"/>
  <c r="E52" i="21"/>
  <c r="P44" i="19"/>
  <c r="K16" i="21"/>
  <c r="N16" i="21" s="1"/>
  <c r="P16" i="19"/>
  <c r="K180" i="21"/>
  <c r="P16" i="21"/>
  <c r="H120" i="25"/>
  <c r="I183" i="25"/>
  <c r="K106" i="21"/>
  <c r="N106" i="21"/>
  <c r="P16" i="20"/>
  <c r="K40" i="21"/>
  <c r="N40" i="21" s="1"/>
  <c r="I12" i="25"/>
  <c r="J109" i="21"/>
  <c r="K168" i="21"/>
  <c r="K105" i="21"/>
  <c r="N105" i="21" s="1"/>
  <c r="K10" i="21"/>
  <c r="N159" i="21"/>
  <c r="E102" i="25"/>
  <c r="I109" i="25"/>
  <c r="J44" i="25"/>
  <c r="K108" i="21"/>
  <c r="K104" i="21"/>
  <c r="N104" i="21" s="1"/>
  <c r="K41" i="21"/>
  <c r="N41" i="21"/>
  <c r="K20" i="21"/>
  <c r="N20" i="21"/>
  <c r="K11" i="21"/>
  <c r="Y76" i="18"/>
  <c r="A86" i="19"/>
  <c r="T76" i="19" s="1"/>
  <c r="X76" i="18"/>
  <c r="O38" i="21"/>
  <c r="C20" i="20"/>
  <c r="U76" i="18"/>
  <c r="V75" i="18"/>
  <c r="W75" i="18"/>
  <c r="T75" i="18"/>
  <c r="U75" i="18"/>
  <c r="Y75" i="18"/>
  <c r="A11" i="19"/>
  <c r="A11" i="20" s="1"/>
  <c r="A11" i="21" s="1"/>
  <c r="T75" i="21" s="1"/>
  <c r="X75" i="18"/>
  <c r="Z75" i="18"/>
  <c r="T76" i="18"/>
  <c r="C86" i="25"/>
  <c r="B29" i="18"/>
  <c r="B29" i="19" s="1"/>
  <c r="B29" i="20" s="1"/>
  <c r="B29" i="21" s="1"/>
  <c r="K165" i="21"/>
  <c r="V76" i="18"/>
  <c r="B111" i="21"/>
  <c r="W76" i="18"/>
  <c r="A44" i="25"/>
  <c r="J51" i="21"/>
  <c r="C16" i="21"/>
  <c r="A16" i="25"/>
  <c r="A36" i="18"/>
  <c r="A36" i="19" s="1"/>
  <c r="A36" i="20" s="1"/>
  <c r="A36" i="21" s="1"/>
  <c r="N56" i="20"/>
  <c r="N47" i="4"/>
  <c r="O45" i="21"/>
  <c r="B107" i="19"/>
  <c r="K129" i="20"/>
  <c r="K153" i="20"/>
  <c r="K177" i="20"/>
  <c r="K129" i="21"/>
  <c r="K153" i="21"/>
  <c r="K177" i="21"/>
  <c r="A101" i="19"/>
  <c r="O49" i="19"/>
  <c r="Q49" i="19" s="1"/>
  <c r="X91" i="18"/>
  <c r="E51" i="25"/>
  <c r="B107" i="20"/>
  <c r="K38" i="18"/>
  <c r="N38" i="18" s="1"/>
  <c r="U91" i="18"/>
  <c r="M68" i="18"/>
  <c r="A19" i="18"/>
  <c r="A19" i="19" s="1"/>
  <c r="A19" i="20" s="1"/>
  <c r="A19" i="21" s="1"/>
  <c r="K58" i="25"/>
  <c r="C48" i="21"/>
  <c r="B107" i="18"/>
  <c r="O40" i="21"/>
  <c r="O49" i="20"/>
  <c r="D81" i="4"/>
  <c r="O49" i="21"/>
  <c r="Q49" i="21"/>
  <c r="K49" i="4"/>
  <c r="O49" i="18"/>
  <c r="L67" i="4"/>
  <c r="L67" i="25" s="1"/>
  <c r="D69" i="25"/>
  <c r="F69" i="25" s="1"/>
  <c r="O33" i="19"/>
  <c r="O33" i="18"/>
  <c r="O33" i="21"/>
  <c r="O33" i="4"/>
  <c r="D80" i="4"/>
  <c r="U131" i="4"/>
  <c r="A90" i="20"/>
  <c r="A90" i="21" s="1"/>
  <c r="G71" i="18"/>
  <c r="G23" i="18"/>
  <c r="AB132" i="4"/>
  <c r="J154" i="19"/>
  <c r="K111" i="18"/>
  <c r="N111" i="18"/>
  <c r="Y80" i="19"/>
  <c r="K111" i="21"/>
  <c r="N111" i="21" s="1"/>
  <c r="N159" i="20"/>
  <c r="N168" i="18"/>
  <c r="J153" i="25"/>
  <c r="K153" i="25" s="1"/>
  <c r="J177" i="25"/>
  <c r="M68" i="19"/>
  <c r="L68" i="19"/>
  <c r="L31" i="21"/>
  <c r="F71" i="21"/>
  <c r="F23" i="21"/>
  <c r="I71" i="21"/>
  <c r="I23" i="21"/>
  <c r="N86" i="18"/>
  <c r="T80" i="19"/>
  <c r="J30" i="21"/>
  <c r="J12" i="19"/>
  <c r="Z83" i="18"/>
  <c r="O45" i="19"/>
  <c r="O11" i="21"/>
  <c r="Q11" i="21" s="1"/>
  <c r="O35" i="4"/>
  <c r="AB124" i="4"/>
  <c r="V124" i="4" s="1"/>
  <c r="J168" i="25"/>
  <c r="N168" i="25" s="1"/>
  <c r="N153" i="21"/>
  <c r="K112" i="20"/>
  <c r="N112" i="20" s="1"/>
  <c r="W80" i="19"/>
  <c r="K40" i="18"/>
  <c r="N40" i="18" s="1"/>
  <c r="E109" i="25"/>
  <c r="O18" i="18"/>
  <c r="O40" i="4"/>
  <c r="E13" i="19"/>
  <c r="N129" i="20"/>
  <c r="F109" i="25"/>
  <c r="O45" i="4"/>
  <c r="N177" i="21"/>
  <c r="O11" i="19"/>
  <c r="P57" i="18"/>
  <c r="Q57" i="18" s="1"/>
  <c r="J109" i="19"/>
  <c r="I30" i="18"/>
  <c r="I31" i="18"/>
  <c r="I31" i="25" s="1"/>
  <c r="L109" i="25"/>
  <c r="P28" i="19"/>
  <c r="N126" i="25"/>
  <c r="U80" i="19"/>
  <c r="E30" i="25"/>
  <c r="N129" i="21"/>
  <c r="O45" i="20"/>
  <c r="K9" i="18"/>
  <c r="N9" i="18"/>
  <c r="K28" i="18"/>
  <c r="P57" i="20"/>
  <c r="Q57" i="20" s="1"/>
  <c r="N150" i="18"/>
  <c r="P28" i="20"/>
  <c r="J129" i="25"/>
  <c r="N129" i="25" s="1"/>
  <c r="F31" i="25"/>
  <c r="V80" i="19"/>
  <c r="O40" i="20"/>
  <c r="N177" i="20"/>
  <c r="J30" i="20"/>
  <c r="K129" i="19"/>
  <c r="P28" i="18"/>
  <c r="O11" i="20"/>
  <c r="K144" i="18"/>
  <c r="K113" i="21"/>
  <c r="N113" i="21" s="1"/>
  <c r="O40" i="19"/>
  <c r="E57" i="25"/>
  <c r="P57" i="19"/>
  <c r="Q57" i="19"/>
  <c r="J109" i="20"/>
  <c r="N153" i="18"/>
  <c r="P28" i="4"/>
  <c r="Q28" i="4" s="1"/>
  <c r="O35" i="20"/>
  <c r="J112" i="25"/>
  <c r="W77" i="19"/>
  <c r="Z80" i="19"/>
  <c r="F30" i="25"/>
  <c r="P28" i="21"/>
  <c r="Q28" i="21" s="1"/>
  <c r="N153" i="20"/>
  <c r="O11" i="18"/>
  <c r="O35" i="19"/>
  <c r="N177" i="18"/>
  <c r="AA137" i="4"/>
  <c r="J169" i="18" s="1"/>
  <c r="K168" i="18"/>
  <c r="J120" i="20"/>
  <c r="O11" i="4"/>
  <c r="N171" i="21"/>
  <c r="I13" i="25"/>
  <c r="I71" i="18"/>
  <c r="N99" i="21"/>
  <c r="O8" i="20"/>
  <c r="O8" i="4"/>
  <c r="H71" i="18"/>
  <c r="M13" i="18"/>
  <c r="E79" i="19"/>
  <c r="X77" i="19"/>
  <c r="W86" i="18"/>
  <c r="T86" i="18"/>
  <c r="Z91" i="18"/>
  <c r="E31" i="21"/>
  <c r="E31" i="25" s="1"/>
  <c r="O18" i="21"/>
  <c r="O18" i="4"/>
  <c r="K18" i="18"/>
  <c r="O18" i="19"/>
  <c r="H79" i="21"/>
  <c r="N104" i="20"/>
  <c r="L71" i="18"/>
  <c r="L23" i="18"/>
  <c r="N88" i="18"/>
  <c r="G31" i="19"/>
  <c r="N92" i="19"/>
  <c r="K20" i="20"/>
  <c r="N20" i="20" s="1"/>
  <c r="O20" i="20"/>
  <c r="Q20" i="20" s="1"/>
  <c r="O20" i="19"/>
  <c r="O20" i="21"/>
  <c r="Q20" i="21" s="1"/>
  <c r="V91" i="18"/>
  <c r="P29" i="19"/>
  <c r="P29" i="4"/>
  <c r="J29" i="25"/>
  <c r="K29" i="18"/>
  <c r="P29" i="21"/>
  <c r="P29" i="18"/>
  <c r="F79" i="19"/>
  <c r="H79" i="20"/>
  <c r="E79" i="18"/>
  <c r="H71" i="21"/>
  <c r="H23" i="21"/>
  <c r="P35" i="21"/>
  <c r="Q35" i="21" s="1"/>
  <c r="P35" i="20"/>
  <c r="Q35" i="20" s="1"/>
  <c r="AA125" i="4"/>
  <c r="J183" i="18"/>
  <c r="J132" i="25"/>
  <c r="K156" i="18"/>
  <c r="N156" i="18"/>
  <c r="AA133" i="4"/>
  <c r="U133" i="4"/>
  <c r="J156" i="25"/>
  <c r="N180" i="18"/>
  <c r="AA141" i="4"/>
  <c r="U141" i="4" s="1"/>
  <c r="J180" i="25"/>
  <c r="K180" i="18"/>
  <c r="J183" i="19"/>
  <c r="K141" i="19"/>
  <c r="J183" i="20"/>
  <c r="N141" i="20"/>
  <c r="K141" i="20"/>
  <c r="K165" i="20"/>
  <c r="N165" i="20"/>
  <c r="K141" i="21"/>
  <c r="N141" i="21"/>
  <c r="J183" i="21"/>
  <c r="T91" i="18"/>
  <c r="U130" i="4"/>
  <c r="P35" i="4"/>
  <c r="J30" i="19"/>
  <c r="V80" i="18"/>
  <c r="Z80" i="18"/>
  <c r="T80" i="18"/>
  <c r="W80" i="18"/>
  <c r="G71" i="21"/>
  <c r="H30" i="18"/>
  <c r="H31" i="18" s="1"/>
  <c r="J109" i="18"/>
  <c r="K109" i="18" s="1"/>
  <c r="O20" i="18"/>
  <c r="K44" i="18"/>
  <c r="K8" i="18"/>
  <c r="O8" i="21"/>
  <c r="O8" i="18"/>
  <c r="O8" i="19"/>
  <c r="G13" i="20"/>
  <c r="J12" i="20"/>
  <c r="I79" i="21"/>
  <c r="N159" i="18"/>
  <c r="W85" i="18"/>
  <c r="K138" i="18"/>
  <c r="M30" i="25"/>
  <c r="K83" i="18"/>
  <c r="K112" i="19"/>
  <c r="N115" i="4"/>
  <c r="N98" i="4"/>
  <c r="W89" i="18"/>
  <c r="I23" i="18"/>
  <c r="E79" i="20"/>
  <c r="Y86" i="18"/>
  <c r="U86" i="18"/>
  <c r="Z86" i="18"/>
  <c r="V86" i="18"/>
  <c r="Z87" i="19"/>
  <c r="X86" i="18"/>
  <c r="N57" i="18"/>
  <c r="A96" i="19"/>
  <c r="Z73" i="18"/>
  <c r="I79" i="20"/>
  <c r="J166" i="18"/>
  <c r="AB136" i="4"/>
  <c r="V136" i="4" s="1"/>
  <c r="U136" i="4"/>
  <c r="G52" i="25"/>
  <c r="M69" i="25"/>
  <c r="O35" i="18"/>
  <c r="K159" i="21"/>
  <c r="P57" i="21"/>
  <c r="Q57" i="21"/>
  <c r="K57" i="19"/>
  <c r="N57" i="19" s="1"/>
  <c r="P57" i="4"/>
  <c r="Q57" i="4" s="1"/>
  <c r="L68" i="4"/>
  <c r="O49" i="4"/>
  <c r="N144" i="18"/>
  <c r="P35" i="18"/>
  <c r="Q35" i="18" s="1"/>
  <c r="P35" i="19"/>
  <c r="I68" i="19"/>
  <c r="J68" i="19" s="1"/>
  <c r="F68" i="19"/>
  <c r="G68" i="19"/>
  <c r="H68" i="19"/>
  <c r="E68" i="19"/>
  <c r="H69" i="27"/>
  <c r="D68" i="21" s="1"/>
  <c r="H68" i="21" s="1"/>
  <c r="D68" i="20"/>
  <c r="I69" i="25"/>
  <c r="J69" i="25" s="1"/>
  <c r="H69" i="25"/>
  <c r="G67" i="20"/>
  <c r="F67" i="20"/>
  <c r="E67" i="20"/>
  <c r="D67" i="21"/>
  <c r="H67" i="21" s="1"/>
  <c r="L66" i="19"/>
  <c r="Q29" i="19"/>
  <c r="U73" i="18"/>
  <c r="X73" i="18"/>
  <c r="T73" i="18"/>
  <c r="A9" i="19"/>
  <c r="U73" i="19" s="1"/>
  <c r="W73" i="18"/>
  <c r="A94" i="19"/>
  <c r="Z84" i="19" s="1"/>
  <c r="W84" i="18"/>
  <c r="V84" i="18"/>
  <c r="K109" i="20"/>
  <c r="N109" i="20" s="1"/>
  <c r="Y84" i="18"/>
  <c r="V73" i="18"/>
  <c r="Z84" i="18"/>
  <c r="X84" i="18"/>
  <c r="T84" i="18"/>
  <c r="J80" i="20"/>
  <c r="Q41" i="21"/>
  <c r="U127" i="4"/>
  <c r="W83" i="18"/>
  <c r="V83" i="18"/>
  <c r="V89" i="18"/>
  <c r="Y89" i="18"/>
  <c r="J139" i="18"/>
  <c r="Z89" i="18"/>
  <c r="U83" i="18"/>
  <c r="T88" i="18"/>
  <c r="X89" i="18"/>
  <c r="U89" i="18"/>
  <c r="A99" i="19"/>
  <c r="V89" i="19"/>
  <c r="Y83" i="18"/>
  <c r="V83" i="19"/>
  <c r="X83" i="18"/>
  <c r="T83" i="18"/>
  <c r="N138" i="25"/>
  <c r="Q41" i="19"/>
  <c r="V87" i="19"/>
  <c r="U83" i="19"/>
  <c r="U87" i="19"/>
  <c r="A93" i="20"/>
  <c r="V83" i="20" s="1"/>
  <c r="X87" i="19"/>
  <c r="T83" i="19"/>
  <c r="X83" i="19"/>
  <c r="W83" i="19"/>
  <c r="Y87" i="19"/>
  <c r="A97" i="20"/>
  <c r="Y83" i="19"/>
  <c r="W88" i="18"/>
  <c r="X88" i="18"/>
  <c r="D142" i="4"/>
  <c r="D147" i="27"/>
  <c r="D143" i="4" s="1"/>
  <c r="A98" i="19"/>
  <c r="X88" i="19" s="1"/>
  <c r="U88" i="18"/>
  <c r="Z88" i="18"/>
  <c r="V88" i="18"/>
  <c r="K157" i="4"/>
  <c r="D151" i="4"/>
  <c r="N151" i="4" s="1"/>
  <c r="D156" i="27"/>
  <c r="D152" i="4"/>
  <c r="N152" i="4" s="1"/>
  <c r="Q28" i="19"/>
  <c r="Q21" i="21"/>
  <c r="A92" i="19"/>
  <c r="A92" i="20" s="1"/>
  <c r="Y82" i="18"/>
  <c r="U82" i="18"/>
  <c r="U128" i="27"/>
  <c r="E131" i="27"/>
  <c r="D127" i="18" s="1"/>
  <c r="D139" i="4"/>
  <c r="D144" i="27"/>
  <c r="D140" i="4" s="1"/>
  <c r="N140" i="4" s="1"/>
  <c r="K87" i="25"/>
  <c r="Y77" i="19"/>
  <c r="Q20" i="4"/>
  <c r="Q28" i="20"/>
  <c r="J136" i="18"/>
  <c r="J137" i="18" s="1"/>
  <c r="Z82" i="18"/>
  <c r="A87" i="20"/>
  <c r="N165" i="25"/>
  <c r="V82" i="18"/>
  <c r="V77" i="19"/>
  <c r="T77" i="19"/>
  <c r="AC123" i="4"/>
  <c r="AD123" i="4" s="1"/>
  <c r="AB140" i="4"/>
  <c r="J178" i="19" s="1"/>
  <c r="U140" i="4"/>
  <c r="Q29" i="21"/>
  <c r="Q20" i="18"/>
  <c r="W82" i="18"/>
  <c r="X82" i="18"/>
  <c r="U77" i="19"/>
  <c r="N90" i="21"/>
  <c r="N150" i="25"/>
  <c r="N171" i="25"/>
  <c r="K115" i="25"/>
  <c r="Q45" i="19"/>
  <c r="Q28" i="18"/>
  <c r="AC132" i="4"/>
  <c r="AD132" i="4" s="1"/>
  <c r="V132" i="4"/>
  <c r="K109" i="19"/>
  <c r="W87" i="19"/>
  <c r="AA139" i="4"/>
  <c r="AB139" i="4" s="1"/>
  <c r="J175" i="4"/>
  <c r="N162" i="25"/>
  <c r="Q20" i="19"/>
  <c r="K109" i="21"/>
  <c r="N109" i="21" s="1"/>
  <c r="T139" i="4"/>
  <c r="AB128" i="4"/>
  <c r="J142" i="19" s="1"/>
  <c r="J143" i="19" s="1"/>
  <c r="AB131" i="4"/>
  <c r="K81" i="18"/>
  <c r="N81" i="18" s="1"/>
  <c r="AB130" i="4"/>
  <c r="J148" i="18"/>
  <c r="J149" i="18"/>
  <c r="Q16" i="20"/>
  <c r="Q16" i="18"/>
  <c r="Q16" i="19"/>
  <c r="D48" i="18"/>
  <c r="U85" i="19"/>
  <c r="D133" i="4"/>
  <c r="D138" i="27"/>
  <c r="D134" i="4" s="1"/>
  <c r="Z76" i="19"/>
  <c r="K48" i="20"/>
  <c r="N48" i="20" s="1"/>
  <c r="A95" i="20"/>
  <c r="X85" i="20" s="1"/>
  <c r="V85" i="19"/>
  <c r="U130" i="27"/>
  <c r="Z85" i="19"/>
  <c r="W85" i="19"/>
  <c r="E141" i="27"/>
  <c r="D137" i="18" s="1"/>
  <c r="D136" i="18"/>
  <c r="D145" i="4"/>
  <c r="D150" i="27"/>
  <c r="D146" i="4"/>
  <c r="N146" i="4" s="1"/>
  <c r="W76" i="19"/>
  <c r="K90" i="25"/>
  <c r="D181" i="4"/>
  <c r="N181" i="4" s="1"/>
  <c r="D186" i="27"/>
  <c r="D182" i="4" s="1"/>
  <c r="N182" i="4" s="1"/>
  <c r="X75" i="19"/>
  <c r="Q41" i="18"/>
  <c r="K124" i="4"/>
  <c r="K117" i="25"/>
  <c r="K30" i="4"/>
  <c r="T74" i="18"/>
  <c r="R137" i="27"/>
  <c r="G155" i="27"/>
  <c r="X136" i="27"/>
  <c r="H155" i="27" s="1"/>
  <c r="R139" i="27"/>
  <c r="Q140" i="27"/>
  <c r="X140" i="27"/>
  <c r="H167" i="27" s="1"/>
  <c r="E138" i="27"/>
  <c r="E176" i="27"/>
  <c r="O143" i="27"/>
  <c r="O138" i="27"/>
  <c r="E161" i="27"/>
  <c r="D158" i="4"/>
  <c r="N158" i="4" s="1"/>
  <c r="M66" i="19"/>
  <c r="E149" i="27"/>
  <c r="O134" i="27"/>
  <c r="U134" i="27"/>
  <c r="W134" i="27" s="1"/>
  <c r="D51" i="18"/>
  <c r="D151" i="18"/>
  <c r="E156" i="27"/>
  <c r="D51" i="20"/>
  <c r="G52" i="27"/>
  <c r="G158" i="27"/>
  <c r="Q137" i="27"/>
  <c r="P141" i="27"/>
  <c r="P136" i="27"/>
  <c r="K132" i="25" s="1"/>
  <c r="F155" i="27"/>
  <c r="D13" i="20"/>
  <c r="G23" i="27"/>
  <c r="G74" i="27"/>
  <c r="D13" i="19"/>
  <c r="F74" i="27"/>
  <c r="D71" i="19" s="1"/>
  <c r="F23" i="27"/>
  <c r="D23" i="19" s="1"/>
  <c r="T85" i="19"/>
  <c r="Y85" i="19"/>
  <c r="D170" i="4"/>
  <c r="N170" i="4"/>
  <c r="Q16" i="21"/>
  <c r="F167" i="27"/>
  <c r="P140" i="27"/>
  <c r="D171" i="27"/>
  <c r="D167" i="4" s="1"/>
  <c r="N167" i="4" s="1"/>
  <c r="D166" i="4"/>
  <c r="U143" i="27"/>
  <c r="G164" i="27"/>
  <c r="G165" i="27" s="1"/>
  <c r="Q139" i="27"/>
  <c r="U138" i="27"/>
  <c r="F161" i="27" s="1"/>
  <c r="D157" i="19" s="1"/>
  <c r="D160" i="4"/>
  <c r="D165" i="27"/>
  <c r="D31" i="21"/>
  <c r="D79" i="21"/>
  <c r="D160" i="18"/>
  <c r="K160" i="18"/>
  <c r="N160" i="18" s="1"/>
  <c r="E165" i="27"/>
  <c r="D161" i="18" s="1"/>
  <c r="E168" i="27"/>
  <c r="U144" i="27"/>
  <c r="P144" i="27" s="1"/>
  <c r="E179" i="27"/>
  <c r="D175" i="18" s="1"/>
  <c r="O144" i="27"/>
  <c r="D31" i="4"/>
  <c r="D82" i="27"/>
  <c r="D153" i="27"/>
  <c r="D148" i="4"/>
  <c r="J170" i="4"/>
  <c r="K169" i="4"/>
  <c r="A86" i="20"/>
  <c r="U76" i="20" s="1"/>
  <c r="J137" i="4"/>
  <c r="K137" i="4"/>
  <c r="K102" i="18"/>
  <c r="K12" i="18" s="1"/>
  <c r="AB126" i="4"/>
  <c r="J143" i="4"/>
  <c r="AC135" i="4"/>
  <c r="W135" i="4" s="1"/>
  <c r="U84" i="19"/>
  <c r="E71" i="4"/>
  <c r="E23" i="4"/>
  <c r="J127" i="18"/>
  <c r="J128" i="18" s="1"/>
  <c r="U123" i="4"/>
  <c r="J163" i="18"/>
  <c r="U135" i="4"/>
  <c r="X76" i="19"/>
  <c r="N159" i="25"/>
  <c r="I79" i="18"/>
  <c r="N101" i="18"/>
  <c r="U76" i="19"/>
  <c r="I30" i="25"/>
  <c r="T75" i="19"/>
  <c r="Y76" i="19"/>
  <c r="J161" i="18"/>
  <c r="J160" i="19"/>
  <c r="J161" i="19" s="1"/>
  <c r="V76" i="19"/>
  <c r="AC134" i="4"/>
  <c r="AD134" i="4" s="1"/>
  <c r="X87" i="20"/>
  <c r="K120" i="20"/>
  <c r="K106" i="25"/>
  <c r="K101" i="25"/>
  <c r="L23" i="20"/>
  <c r="L71" i="20"/>
  <c r="F71" i="20"/>
  <c r="F23" i="20"/>
  <c r="J13" i="21"/>
  <c r="E71" i="21"/>
  <c r="K104" i="25"/>
  <c r="K41" i="25"/>
  <c r="N10" i="21"/>
  <c r="N153" i="25"/>
  <c r="W80" i="20"/>
  <c r="Y80" i="20"/>
  <c r="A94" i="20"/>
  <c r="W84" i="20" s="1"/>
  <c r="V84" i="20"/>
  <c r="Z87" i="20"/>
  <c r="Y75" i="19"/>
  <c r="W75" i="19"/>
  <c r="T80" i="20"/>
  <c r="V80" i="20"/>
  <c r="Z75" i="19"/>
  <c r="V75" i="19"/>
  <c r="V75" i="20"/>
  <c r="U75" i="19"/>
  <c r="Y84" i="19"/>
  <c r="Z80" i="20"/>
  <c r="K111" i="25"/>
  <c r="Z75" i="20"/>
  <c r="X75" i="20"/>
  <c r="K81" i="4"/>
  <c r="N81" i="4" s="1"/>
  <c r="N49" i="4"/>
  <c r="V87" i="20"/>
  <c r="U80" i="21"/>
  <c r="Q35" i="19"/>
  <c r="X84" i="19"/>
  <c r="A97" i="21"/>
  <c r="U80" i="20"/>
  <c r="K168" i="25"/>
  <c r="Q35" i="4"/>
  <c r="AB137" i="4"/>
  <c r="AC137" i="4" s="1"/>
  <c r="AD137" i="4" s="1"/>
  <c r="U137" i="4"/>
  <c r="L79" i="21"/>
  <c r="AC124" i="4"/>
  <c r="J130" i="19"/>
  <c r="J131" i="19" s="1"/>
  <c r="N28" i="18"/>
  <c r="N111" i="25"/>
  <c r="N112" i="19"/>
  <c r="G71" i="20"/>
  <c r="J71" i="20" s="1"/>
  <c r="G23" i="20"/>
  <c r="J23" i="20" s="1"/>
  <c r="K156" i="25"/>
  <c r="M23" i="18"/>
  <c r="M71" i="18"/>
  <c r="Y82" i="19"/>
  <c r="U82" i="19"/>
  <c r="X82" i="19"/>
  <c r="J140" i="18"/>
  <c r="N83" i="18"/>
  <c r="N44" i="18"/>
  <c r="J157" i="18"/>
  <c r="AB133" i="4"/>
  <c r="N18" i="18"/>
  <c r="J31" i="21"/>
  <c r="J79" i="21" s="1"/>
  <c r="K79" i="21" s="1"/>
  <c r="N79" i="21" s="1"/>
  <c r="H30" i="25"/>
  <c r="J30" i="18"/>
  <c r="J133" i="18"/>
  <c r="AB125" i="4"/>
  <c r="AC125" i="4" s="1"/>
  <c r="M31" i="25"/>
  <c r="K180" i="25"/>
  <c r="N180" i="25"/>
  <c r="N8" i="18"/>
  <c r="J181" i="18"/>
  <c r="J182" i="18" s="1"/>
  <c r="AB141" i="4"/>
  <c r="V141" i="4" s="1"/>
  <c r="AC141" i="4"/>
  <c r="U125" i="4"/>
  <c r="J109" i="25"/>
  <c r="N183" i="18"/>
  <c r="N29" i="18"/>
  <c r="G79" i="19"/>
  <c r="J155" i="19"/>
  <c r="J170" i="18"/>
  <c r="J167" i="18"/>
  <c r="W89" i="19"/>
  <c r="Z89" i="19"/>
  <c r="T89" i="19"/>
  <c r="U89" i="19"/>
  <c r="Y89" i="19"/>
  <c r="X89" i="19"/>
  <c r="Y73" i="19"/>
  <c r="T86" i="19"/>
  <c r="W86" i="19"/>
  <c r="Y86" i="19"/>
  <c r="X86" i="19"/>
  <c r="U86" i="19"/>
  <c r="A96" i="20"/>
  <c r="V86" i="19"/>
  <c r="Z86" i="19"/>
  <c r="M68" i="4"/>
  <c r="M68" i="25" s="1"/>
  <c r="L68" i="25"/>
  <c r="H68" i="20"/>
  <c r="E68" i="20"/>
  <c r="G68" i="20"/>
  <c r="F68" i="20"/>
  <c r="I68" i="20"/>
  <c r="J68" i="20" s="1"/>
  <c r="E67" i="21"/>
  <c r="G67" i="21"/>
  <c r="F67" i="21"/>
  <c r="I67" i="21"/>
  <c r="K151" i="4"/>
  <c r="T83" i="20"/>
  <c r="A99" i="20"/>
  <c r="Z82" i="19"/>
  <c r="T84" i="19"/>
  <c r="W84" i="19"/>
  <c r="Y87" i="20"/>
  <c r="U87" i="20"/>
  <c r="Z83" i="20"/>
  <c r="U83" i="20"/>
  <c r="A93" i="21"/>
  <c r="X83" i="20"/>
  <c r="Y83" i="20"/>
  <c r="W83" i="20"/>
  <c r="Z77" i="20"/>
  <c r="U77" i="20"/>
  <c r="W77" i="20"/>
  <c r="A98" i="20"/>
  <c r="U88" i="19"/>
  <c r="W88" i="19"/>
  <c r="V88" i="19"/>
  <c r="T88" i="19"/>
  <c r="Z88" i="19"/>
  <c r="Y88" i="19"/>
  <c r="K152" i="4"/>
  <c r="W82" i="19"/>
  <c r="K140" i="4"/>
  <c r="N139" i="4"/>
  <c r="K139" i="4"/>
  <c r="V77" i="20"/>
  <c r="T82" i="19"/>
  <c r="X77" i="20"/>
  <c r="V82" i="19"/>
  <c r="W128" i="27"/>
  <c r="X128" i="27" s="1"/>
  <c r="P128" i="27"/>
  <c r="F131" i="27"/>
  <c r="D127" i="19" s="1"/>
  <c r="K127" i="19" s="1"/>
  <c r="N127" i="19" s="1"/>
  <c r="AC140" i="4"/>
  <c r="W140" i="4" s="1"/>
  <c r="V140" i="4"/>
  <c r="J154" i="20"/>
  <c r="W132" i="4"/>
  <c r="W134" i="4"/>
  <c r="J160" i="20"/>
  <c r="J175" i="19"/>
  <c r="J176" i="19" s="1"/>
  <c r="V139" i="4"/>
  <c r="AC131" i="4"/>
  <c r="V131" i="4"/>
  <c r="J151" i="19"/>
  <c r="AC130" i="4"/>
  <c r="W130" i="4" s="1"/>
  <c r="J176" i="4"/>
  <c r="J175" i="18"/>
  <c r="AC139" i="4"/>
  <c r="A94" i="21"/>
  <c r="X84" i="20"/>
  <c r="N145" i="4"/>
  <c r="N133" i="4"/>
  <c r="N134" i="4"/>
  <c r="Y85" i="20"/>
  <c r="F179" i="27"/>
  <c r="D175" i="19" s="1"/>
  <c r="V76" i="20"/>
  <c r="D149" i="4"/>
  <c r="D161" i="4"/>
  <c r="D154" i="20"/>
  <c r="K154" i="20" s="1"/>
  <c r="N154" i="20"/>
  <c r="G159" i="27"/>
  <c r="D155" i="20" s="1"/>
  <c r="I158" i="27"/>
  <c r="D154" i="25" s="1"/>
  <c r="N154" i="25" s="1"/>
  <c r="D52" i="20"/>
  <c r="G156" i="27"/>
  <c r="D152" i="20" s="1"/>
  <c r="D151" i="20"/>
  <c r="K125" i="4"/>
  <c r="D134" i="18"/>
  <c r="D164" i="18"/>
  <c r="D157" i="18"/>
  <c r="K157" i="18" s="1"/>
  <c r="N157" i="18" s="1"/>
  <c r="E162" i="27"/>
  <c r="D158" i="18" s="1"/>
  <c r="R140" i="27"/>
  <c r="D155" i="21"/>
  <c r="D154" i="21"/>
  <c r="K170" i="4"/>
  <c r="F176" i="27"/>
  <c r="P143" i="27"/>
  <c r="F168" i="27"/>
  <c r="D164" i="19" s="1"/>
  <c r="D163" i="19"/>
  <c r="D151" i="19"/>
  <c r="F156" i="27"/>
  <c r="D152" i="19" s="1"/>
  <c r="P134" i="27"/>
  <c r="F149" i="27"/>
  <c r="G168" i="27"/>
  <c r="D164" i="20" s="1"/>
  <c r="K164" i="20"/>
  <c r="N164" i="20" s="1"/>
  <c r="D163" i="20"/>
  <c r="K163" i="20" s="1"/>
  <c r="N163" i="20" s="1"/>
  <c r="D79" i="4"/>
  <c r="W144" i="27"/>
  <c r="X144" i="27"/>
  <c r="H179" i="27" s="1"/>
  <c r="D175" i="21" s="1"/>
  <c r="D160" i="20"/>
  <c r="D161" i="20"/>
  <c r="D71" i="20"/>
  <c r="R136" i="27"/>
  <c r="E180" i="27"/>
  <c r="D176" i="18" s="1"/>
  <c r="D145" i="18"/>
  <c r="E150" i="27"/>
  <c r="N148" i="4"/>
  <c r="K148" i="4"/>
  <c r="D23" i="20"/>
  <c r="K23" i="20" s="1"/>
  <c r="N23" i="20" s="1"/>
  <c r="D152" i="18"/>
  <c r="E177" i="27"/>
  <c r="D173" i="18" s="1"/>
  <c r="D172" i="18"/>
  <c r="H165" i="27"/>
  <c r="D161" i="21" s="1"/>
  <c r="J136" i="19"/>
  <c r="J137" i="19" s="1"/>
  <c r="V126" i="4"/>
  <c r="J164" i="18"/>
  <c r="K163" i="18"/>
  <c r="N163" i="18" s="1"/>
  <c r="U75" i="21"/>
  <c r="Y75" i="21"/>
  <c r="W75" i="21"/>
  <c r="X75" i="21"/>
  <c r="Z84" i="20"/>
  <c r="V75" i="21"/>
  <c r="U84" i="20"/>
  <c r="M67" i="21"/>
  <c r="L67" i="21"/>
  <c r="M68" i="20"/>
  <c r="L68" i="20"/>
  <c r="AD124" i="4"/>
  <c r="J130" i="20"/>
  <c r="W124" i="4"/>
  <c r="W137" i="4"/>
  <c r="J169" i="20"/>
  <c r="J169" i="19"/>
  <c r="J170" i="19" s="1"/>
  <c r="V137" i="4"/>
  <c r="J134" i="18"/>
  <c r="K133" i="18"/>
  <c r="N133" i="18" s="1"/>
  <c r="N109" i="18"/>
  <c r="H31" i="25"/>
  <c r="H79" i="18"/>
  <c r="J31" i="18"/>
  <c r="J157" i="19"/>
  <c r="V133" i="4"/>
  <c r="V125" i="4"/>
  <c r="AC133" i="4"/>
  <c r="AD133" i="4" s="1"/>
  <c r="X133" i="4" s="1"/>
  <c r="J181" i="19"/>
  <c r="J133" i="20"/>
  <c r="J134" i="20" s="1"/>
  <c r="W125" i="4"/>
  <c r="J158" i="18"/>
  <c r="W82" i="20"/>
  <c r="T82" i="20"/>
  <c r="A92" i="21"/>
  <c r="U82" i="20"/>
  <c r="V82" i="20"/>
  <c r="Y82" i="20"/>
  <c r="Z82" i="20"/>
  <c r="X82" i="20"/>
  <c r="W86" i="20"/>
  <c r="Z86" i="20"/>
  <c r="V86" i="20"/>
  <c r="T86" i="20"/>
  <c r="J155" i="20"/>
  <c r="K155" i="20" s="1"/>
  <c r="N155" i="20" s="1"/>
  <c r="J161" i="20"/>
  <c r="Y89" i="20"/>
  <c r="A99" i="21"/>
  <c r="V89" i="21" s="1"/>
  <c r="X89" i="20"/>
  <c r="Z89" i="20"/>
  <c r="V89" i="20"/>
  <c r="T89" i="20"/>
  <c r="U89" i="20"/>
  <c r="W89" i="20"/>
  <c r="X83" i="21"/>
  <c r="Z83" i="21"/>
  <c r="U88" i="20"/>
  <c r="A98" i="21"/>
  <c r="U88" i="21"/>
  <c r="Z88" i="20"/>
  <c r="Q128" i="27"/>
  <c r="G131" i="27"/>
  <c r="D127" i="20" s="1"/>
  <c r="AD140" i="4"/>
  <c r="J178" i="21" s="1"/>
  <c r="J179" i="21" s="1"/>
  <c r="J178" i="20"/>
  <c r="U84" i="21"/>
  <c r="X84" i="21"/>
  <c r="J152" i="19"/>
  <c r="W131" i="4"/>
  <c r="T84" i="21"/>
  <c r="AD139" i="4"/>
  <c r="W139" i="4"/>
  <c r="J175" i="20"/>
  <c r="K151" i="19"/>
  <c r="N151" i="19" s="1"/>
  <c r="AD130" i="4"/>
  <c r="X130" i="4" s="1"/>
  <c r="K134" i="18"/>
  <c r="N134" i="18"/>
  <c r="K161" i="20"/>
  <c r="N161" i="20" s="1"/>
  <c r="H168" i="27"/>
  <c r="D164" i="21" s="1"/>
  <c r="D163" i="21"/>
  <c r="I167" i="27"/>
  <c r="D163" i="25" s="1"/>
  <c r="G179" i="27"/>
  <c r="D175" i="20" s="1"/>
  <c r="Q144" i="27"/>
  <c r="D145" i="19"/>
  <c r="F150" i="27"/>
  <c r="D146" i="19" s="1"/>
  <c r="K167" i="4"/>
  <c r="D146" i="18"/>
  <c r="F177" i="27"/>
  <c r="D173" i="19" s="1"/>
  <c r="N161" i="4"/>
  <c r="K161" i="4"/>
  <c r="D151" i="21"/>
  <c r="H156" i="27"/>
  <c r="L68" i="21"/>
  <c r="M68" i="21"/>
  <c r="J170" i="20"/>
  <c r="J131" i="20"/>
  <c r="J79" i="18"/>
  <c r="Y82" i="21"/>
  <c r="U82" i="21"/>
  <c r="X82" i="21"/>
  <c r="V82" i="21"/>
  <c r="J182" i="19"/>
  <c r="J158" i="19"/>
  <c r="Y89" i="21"/>
  <c r="T89" i="21"/>
  <c r="X88" i="21"/>
  <c r="Z88" i="21"/>
  <c r="Y88" i="21"/>
  <c r="G132" i="27"/>
  <c r="D128" i="20" s="1"/>
  <c r="R128" i="27"/>
  <c r="H131" i="27"/>
  <c r="X140" i="4"/>
  <c r="J176" i="20"/>
  <c r="J175" i="21"/>
  <c r="X139" i="4"/>
  <c r="K175" i="20"/>
  <c r="N175" i="20" s="1"/>
  <c r="H132" i="27"/>
  <c r="D127" i="21"/>
  <c r="I131" i="27"/>
  <c r="D127" i="25" s="1"/>
  <c r="J178" i="25"/>
  <c r="D128" i="21"/>
  <c r="K158" i="18" l="1"/>
  <c r="N158" i="18" s="1"/>
  <c r="K164" i="18"/>
  <c r="N164" i="18" s="1"/>
  <c r="K71" i="20"/>
  <c r="N71" i="20" s="1"/>
  <c r="K157" i="19"/>
  <c r="N157" i="19" s="1"/>
  <c r="K137" i="18"/>
  <c r="N137" i="18" s="1"/>
  <c r="N41" i="25"/>
  <c r="N115" i="25"/>
  <c r="Q45" i="4"/>
  <c r="Q29" i="4"/>
  <c r="N120" i="20"/>
  <c r="K42" i="20"/>
  <c r="N147" i="25"/>
  <c r="K81" i="21"/>
  <c r="N81" i="21" s="1"/>
  <c r="I42" i="27"/>
  <c r="D42" i="25" s="1"/>
  <c r="H52" i="4"/>
  <c r="K119" i="4"/>
  <c r="N119" i="4" s="1"/>
  <c r="K118" i="4"/>
  <c r="N118" i="4" s="1"/>
  <c r="K108" i="4"/>
  <c r="N108" i="4" s="1"/>
  <c r="K105" i="4"/>
  <c r="K96" i="4"/>
  <c r="N96" i="4" s="1"/>
  <c r="K93" i="4"/>
  <c r="N93" i="4" s="1"/>
  <c r="N93" i="25" s="1"/>
  <c r="K86" i="4"/>
  <c r="N86" i="4" s="1"/>
  <c r="K45" i="4"/>
  <c r="N45" i="4" s="1"/>
  <c r="J80" i="4"/>
  <c r="K39" i="4"/>
  <c r="N39" i="4" s="1"/>
  <c r="K49" i="19"/>
  <c r="K40" i="19"/>
  <c r="N40" i="19" s="1"/>
  <c r="O29" i="18"/>
  <c r="Q29" i="18" s="1"/>
  <c r="K8" i="19"/>
  <c r="N8" i="19" s="1"/>
  <c r="J51" i="20"/>
  <c r="K51" i="20" s="1"/>
  <c r="K49" i="20"/>
  <c r="K33" i="20"/>
  <c r="N33" i="20" s="1"/>
  <c r="K28" i="20"/>
  <c r="N28" i="20" s="1"/>
  <c r="K18" i="20"/>
  <c r="N18" i="20" s="1"/>
  <c r="K114" i="21"/>
  <c r="N114" i="21" s="1"/>
  <c r="K107" i="21"/>
  <c r="N107" i="21" s="1"/>
  <c r="M12" i="25"/>
  <c r="K96" i="21"/>
  <c r="N96" i="21" s="1"/>
  <c r="K45" i="21"/>
  <c r="N45" i="21" s="1"/>
  <c r="K112" i="18"/>
  <c r="N112" i="18" s="1"/>
  <c r="K113" i="18"/>
  <c r="N113" i="18" s="1"/>
  <c r="N156" i="25"/>
  <c r="N174" i="25"/>
  <c r="K138" i="19"/>
  <c r="K123" i="21"/>
  <c r="K171" i="21"/>
  <c r="K83" i="20"/>
  <c r="N83" i="20" s="1"/>
  <c r="N58" i="25"/>
  <c r="D75" i="27"/>
  <c r="F75" i="27"/>
  <c r="H66" i="18"/>
  <c r="G66" i="18"/>
  <c r="F66" i="18"/>
  <c r="I66" i="18"/>
  <c r="J139" i="20"/>
  <c r="J140" i="20" s="1"/>
  <c r="W127" i="4"/>
  <c r="AD127" i="4"/>
  <c r="N149" i="4"/>
  <c r="K149" i="4"/>
  <c r="W141" i="4"/>
  <c r="AD141" i="4"/>
  <c r="N109" i="19"/>
  <c r="N109" i="25" s="1"/>
  <c r="K109" i="25"/>
  <c r="U91" i="19"/>
  <c r="W91" i="19"/>
  <c r="Y91" i="19"/>
  <c r="X91" i="19"/>
  <c r="Z91" i="19"/>
  <c r="A101" i="20"/>
  <c r="T129" i="4"/>
  <c r="AA129" i="4"/>
  <c r="AB129" i="4" s="1"/>
  <c r="AC129" i="4" s="1"/>
  <c r="Y142" i="4"/>
  <c r="J145" i="4"/>
  <c r="E173" i="27"/>
  <c r="O142" i="27"/>
  <c r="H51" i="27"/>
  <c r="D51" i="21" s="1"/>
  <c r="K51" i="21" s="1"/>
  <c r="N51" i="21" s="1"/>
  <c r="D120" i="21"/>
  <c r="C112" i="18"/>
  <c r="C112" i="19"/>
  <c r="A45" i="18"/>
  <c r="A45" i="19" s="1"/>
  <c r="A45" i="20" s="1"/>
  <c r="A45" i="21" s="1"/>
  <c r="A45" i="25"/>
  <c r="A35" i="18"/>
  <c r="A35" i="19" s="1"/>
  <c r="A35" i="20" s="1"/>
  <c r="A35" i="21" s="1"/>
  <c r="A35" i="25"/>
  <c r="O17" i="18"/>
  <c r="Q17" i="18" s="1"/>
  <c r="K17" i="4"/>
  <c r="O17" i="20"/>
  <c r="O17" i="19"/>
  <c r="Q17" i="19" s="1"/>
  <c r="O17" i="4"/>
  <c r="O17" i="21"/>
  <c r="P10" i="4"/>
  <c r="Q10" i="4" s="1"/>
  <c r="P10" i="19"/>
  <c r="Q10" i="19" s="1"/>
  <c r="P10" i="21"/>
  <c r="Q10" i="21" s="1"/>
  <c r="P10" i="18"/>
  <c r="Q10" i="18" s="1"/>
  <c r="P10" i="20"/>
  <c r="Q10" i="20" s="1"/>
  <c r="J10" i="25"/>
  <c r="O44" i="20"/>
  <c r="O44" i="19"/>
  <c r="O44" i="21"/>
  <c r="O44" i="18"/>
  <c r="O44" i="4"/>
  <c r="Q44" i="4" s="1"/>
  <c r="N180" i="19"/>
  <c r="K180" i="19"/>
  <c r="D183" i="27"/>
  <c r="D178" i="4"/>
  <c r="E143" i="27"/>
  <c r="U132" i="27"/>
  <c r="O132" i="27"/>
  <c r="M51" i="4"/>
  <c r="M51" i="25" s="1"/>
  <c r="M120" i="25"/>
  <c r="K116" i="4"/>
  <c r="N116" i="4" s="1"/>
  <c r="J116" i="25"/>
  <c r="L31" i="4"/>
  <c r="L30" i="25"/>
  <c r="B104" i="21"/>
  <c r="B104" i="25"/>
  <c r="B104" i="19"/>
  <c r="B104" i="18"/>
  <c r="B104" i="20"/>
  <c r="J42" i="21"/>
  <c r="K42" i="21" s="1"/>
  <c r="N42" i="21" s="1"/>
  <c r="G42" i="25"/>
  <c r="P22" i="4"/>
  <c r="J22" i="25"/>
  <c r="K22" i="21"/>
  <c r="N22" i="21" s="1"/>
  <c r="P22" i="20"/>
  <c r="Q22" i="20" s="1"/>
  <c r="P22" i="19"/>
  <c r="Q22" i="19" s="1"/>
  <c r="P22" i="21"/>
  <c r="Q22" i="21" s="1"/>
  <c r="P22" i="18"/>
  <c r="Q22" i="18" s="1"/>
  <c r="J8" i="25"/>
  <c r="P8" i="21"/>
  <c r="P8" i="19"/>
  <c r="P8" i="18"/>
  <c r="P8" i="20"/>
  <c r="K8" i="21"/>
  <c r="P8" i="4"/>
  <c r="Q8" i="4" s="1"/>
  <c r="J157" i="21"/>
  <c r="G180" i="27"/>
  <c r="D176" i="20" s="1"/>
  <c r="K176" i="20" s="1"/>
  <c r="N176" i="20" s="1"/>
  <c r="A86" i="21"/>
  <c r="W84" i="21"/>
  <c r="Y84" i="21"/>
  <c r="T88" i="20"/>
  <c r="X88" i="20"/>
  <c r="V88" i="20"/>
  <c r="W88" i="20"/>
  <c r="Y88" i="20"/>
  <c r="V91" i="19"/>
  <c r="K136" i="18"/>
  <c r="N136" i="18" s="1"/>
  <c r="T91" i="19"/>
  <c r="U74" i="18"/>
  <c r="V74" i="18"/>
  <c r="X74" i="18"/>
  <c r="W74" i="18"/>
  <c r="Z74" i="18"/>
  <c r="A10" i="19"/>
  <c r="Y74" i="18"/>
  <c r="Q22" i="4"/>
  <c r="J120" i="4"/>
  <c r="J120" i="25" s="1"/>
  <c r="K113" i="4"/>
  <c r="J113" i="25"/>
  <c r="B98" i="18"/>
  <c r="B98" i="19"/>
  <c r="B98" i="20"/>
  <c r="B98" i="21"/>
  <c r="B98" i="25"/>
  <c r="M183" i="25"/>
  <c r="C92" i="21"/>
  <c r="C92" i="19"/>
  <c r="C92" i="25"/>
  <c r="C92" i="18"/>
  <c r="C92" i="20"/>
  <c r="M71" i="21"/>
  <c r="M23" i="21"/>
  <c r="M13" i="25"/>
  <c r="P47" i="4"/>
  <c r="Q47" i="4" s="1"/>
  <c r="J47" i="25"/>
  <c r="P47" i="20"/>
  <c r="P47" i="18"/>
  <c r="P47" i="19"/>
  <c r="P47" i="21"/>
  <c r="O39" i="4"/>
  <c r="O39" i="21"/>
  <c r="O39" i="20"/>
  <c r="O39" i="19"/>
  <c r="O39" i="18"/>
  <c r="L183" i="25"/>
  <c r="E52" i="18"/>
  <c r="E48" i="25"/>
  <c r="J48" i="18"/>
  <c r="H48" i="27"/>
  <c r="I187" i="27"/>
  <c r="D183" i="25" s="1"/>
  <c r="D183" i="21"/>
  <c r="D72" i="4"/>
  <c r="D77" i="27"/>
  <c r="C21" i="25"/>
  <c r="C21" i="18"/>
  <c r="C21" i="20"/>
  <c r="C21" i="21"/>
  <c r="F180" i="27"/>
  <c r="D176" i="19" s="1"/>
  <c r="K176" i="19" s="1"/>
  <c r="N176" i="19" s="1"/>
  <c r="F132" i="27"/>
  <c r="D128" i="19" s="1"/>
  <c r="K128" i="19" s="1"/>
  <c r="N128" i="19" s="1"/>
  <c r="Y86" i="20"/>
  <c r="U86" i="20"/>
  <c r="A96" i="21"/>
  <c r="X86" i="20"/>
  <c r="N57" i="25"/>
  <c r="K39" i="21"/>
  <c r="N39" i="21" s="1"/>
  <c r="V127" i="4"/>
  <c r="J139" i="19"/>
  <c r="P38" i="18"/>
  <c r="Q38" i="18" s="1"/>
  <c r="K38" i="4"/>
  <c r="P38" i="21"/>
  <c r="Q38" i="21" s="1"/>
  <c r="P38" i="4"/>
  <c r="Q38" i="4" s="1"/>
  <c r="P38" i="19"/>
  <c r="J38" i="25"/>
  <c r="P38" i="20"/>
  <c r="Q38" i="20" s="1"/>
  <c r="L51" i="18"/>
  <c r="L120" i="25"/>
  <c r="O36" i="21"/>
  <c r="O36" i="20"/>
  <c r="K36" i="18"/>
  <c r="N36" i="18" s="1"/>
  <c r="O36" i="18"/>
  <c r="N144" i="25"/>
  <c r="P130" i="27"/>
  <c r="K126" i="25" s="1"/>
  <c r="F137" i="27"/>
  <c r="D133" i="19" s="1"/>
  <c r="N183" i="21"/>
  <c r="Q8" i="20"/>
  <c r="N92" i="20"/>
  <c r="N92" i="25" s="1"/>
  <c r="K92" i="25"/>
  <c r="C112" i="20"/>
  <c r="C112" i="21" s="1"/>
  <c r="N83" i="19"/>
  <c r="N83" i="25" s="1"/>
  <c r="K83" i="25"/>
  <c r="U142" i="27"/>
  <c r="G13" i="4"/>
  <c r="G12" i="25"/>
  <c r="P15" i="18"/>
  <c r="P15" i="4"/>
  <c r="P15" i="21"/>
  <c r="P15" i="20"/>
  <c r="P15" i="19"/>
  <c r="Q15" i="19" s="1"/>
  <c r="N105" i="4"/>
  <c r="K105" i="25"/>
  <c r="P18" i="20"/>
  <c r="Q18" i="20" s="1"/>
  <c r="P18" i="4"/>
  <c r="Q18" i="4" s="1"/>
  <c r="P18" i="21"/>
  <c r="Q18" i="21" s="1"/>
  <c r="P18" i="19"/>
  <c r="K18" i="21"/>
  <c r="J18" i="25"/>
  <c r="P18" i="18"/>
  <c r="Q18" i="18" s="1"/>
  <c r="K107" i="25"/>
  <c r="Z76" i="20"/>
  <c r="Y76" i="20"/>
  <c r="W76" i="20"/>
  <c r="X76" i="20"/>
  <c r="T76" i="20"/>
  <c r="W132" i="27"/>
  <c r="U145" i="27"/>
  <c r="W145" i="27"/>
  <c r="O145" i="27"/>
  <c r="X145" i="27"/>
  <c r="E182" i="27"/>
  <c r="D117" i="25"/>
  <c r="I124" i="27"/>
  <c r="D120" i="25" s="1"/>
  <c r="D102" i="4"/>
  <c r="D12" i="4" s="1"/>
  <c r="D12" i="27"/>
  <c r="I105" i="27"/>
  <c r="D102" i="25" s="1"/>
  <c r="B101" i="21"/>
  <c r="B101" i="25"/>
  <c r="B101" i="20"/>
  <c r="B101" i="19"/>
  <c r="B101" i="18"/>
  <c r="V81" i="4"/>
  <c r="T81" i="4"/>
  <c r="Z81" i="4"/>
  <c r="W81" i="4"/>
  <c r="A91" i="25"/>
  <c r="U81" i="4"/>
  <c r="X81" i="4"/>
  <c r="Y81" i="4"/>
  <c r="A91" i="18"/>
  <c r="P40" i="18"/>
  <c r="Q40" i="18" s="1"/>
  <c r="J40" i="25"/>
  <c r="P40" i="21"/>
  <c r="Q40" i="21" s="1"/>
  <c r="P40" i="20"/>
  <c r="Q40" i="20" s="1"/>
  <c r="P40" i="4"/>
  <c r="Q40" i="4" s="1"/>
  <c r="P40" i="19"/>
  <c r="Q40" i="19" s="1"/>
  <c r="H36" i="25"/>
  <c r="J36" i="4"/>
  <c r="O15" i="21"/>
  <c r="Q15" i="21" s="1"/>
  <c r="K15" i="4"/>
  <c r="N15" i="4" s="1"/>
  <c r="O15" i="20"/>
  <c r="Q15" i="20" s="1"/>
  <c r="O15" i="18"/>
  <c r="O15" i="4"/>
  <c r="N132" i="18"/>
  <c r="K132" i="18"/>
  <c r="P39" i="18"/>
  <c r="P39" i="20"/>
  <c r="J39" i="25"/>
  <c r="O34" i="18"/>
  <c r="Q34" i="18" s="1"/>
  <c r="O34" i="4"/>
  <c r="Q34" i="4" s="1"/>
  <c r="K34" i="21"/>
  <c r="N34" i="21" s="1"/>
  <c r="O9" i="18"/>
  <c r="Q9" i="18" s="1"/>
  <c r="O9" i="20"/>
  <c r="Q9" i="20" s="1"/>
  <c r="O9" i="19"/>
  <c r="Q9" i="19" s="1"/>
  <c r="O9" i="21"/>
  <c r="Q9" i="21" s="1"/>
  <c r="O9" i="4"/>
  <c r="Q9" i="4" s="1"/>
  <c r="K9" i="21"/>
  <c r="L52" i="4"/>
  <c r="L48" i="25"/>
  <c r="N48" i="4"/>
  <c r="H13" i="27"/>
  <c r="H23" i="27" s="1"/>
  <c r="D12" i="21"/>
  <c r="N132" i="25"/>
  <c r="P33" i="20"/>
  <c r="J33" i="25"/>
  <c r="P33" i="4"/>
  <c r="P33" i="21"/>
  <c r="K175" i="19"/>
  <c r="N175" i="19" s="1"/>
  <c r="W130" i="27"/>
  <c r="H180" i="27"/>
  <c r="D176" i="21" s="1"/>
  <c r="W88" i="21"/>
  <c r="V88" i="21"/>
  <c r="T88" i="21"/>
  <c r="T82" i="21"/>
  <c r="Z82" i="21"/>
  <c r="W82" i="21"/>
  <c r="D172" i="19"/>
  <c r="M23" i="25"/>
  <c r="W87" i="21"/>
  <c r="U87" i="21"/>
  <c r="Z87" i="21"/>
  <c r="Y87" i="21"/>
  <c r="V87" i="21"/>
  <c r="O36" i="19"/>
  <c r="C107" i="19"/>
  <c r="C107" i="25"/>
  <c r="C107" i="18"/>
  <c r="C107" i="20"/>
  <c r="C107" i="21" s="1"/>
  <c r="J102" i="4"/>
  <c r="K99" i="4"/>
  <c r="J99" i="25"/>
  <c r="O46" i="20"/>
  <c r="Q46" i="20" s="1"/>
  <c r="K46" i="4"/>
  <c r="N46" i="4" s="1"/>
  <c r="O46" i="18"/>
  <c r="Q46" i="18" s="1"/>
  <c r="O46" i="4"/>
  <c r="O46" i="21"/>
  <c r="O46" i="19"/>
  <c r="Q46" i="19" s="1"/>
  <c r="O19" i="18"/>
  <c r="Q19" i="18" s="1"/>
  <c r="O19" i="21"/>
  <c r="Q19" i="21" s="1"/>
  <c r="K19" i="21"/>
  <c r="K19" i="25" s="1"/>
  <c r="O19" i="4"/>
  <c r="Q19" i="4" s="1"/>
  <c r="O19" i="19"/>
  <c r="Q19" i="19" s="1"/>
  <c r="O19" i="20"/>
  <c r="Q19" i="20" s="1"/>
  <c r="T129" i="27"/>
  <c r="D134" i="27"/>
  <c r="N129" i="27"/>
  <c r="N147" i="27" s="1"/>
  <c r="D85" i="27" s="1"/>
  <c r="D82" i="4" s="1"/>
  <c r="S147" i="27"/>
  <c r="D30" i="19"/>
  <c r="F31" i="27"/>
  <c r="J36" i="21"/>
  <c r="K36" i="21" s="1"/>
  <c r="N36" i="21" s="1"/>
  <c r="K15" i="21"/>
  <c r="N15" i="21" s="1"/>
  <c r="N177" i="19"/>
  <c r="K177" i="19"/>
  <c r="I179" i="27"/>
  <c r="D175" i="25" s="1"/>
  <c r="W133" i="4"/>
  <c r="R144" i="27"/>
  <c r="F162" i="27"/>
  <c r="D158" i="19" s="1"/>
  <c r="K158" i="19" s="1"/>
  <c r="N158" i="19" s="1"/>
  <c r="X124" i="4"/>
  <c r="J130" i="21"/>
  <c r="U83" i="21"/>
  <c r="W83" i="21"/>
  <c r="T83" i="21"/>
  <c r="Y83" i="21"/>
  <c r="V83" i="21"/>
  <c r="X137" i="4"/>
  <c r="J169" i="21"/>
  <c r="K93" i="25"/>
  <c r="N160" i="4"/>
  <c r="K160" i="4"/>
  <c r="O36" i="4"/>
  <c r="I36" i="27"/>
  <c r="D36" i="25" s="1"/>
  <c r="W138" i="27"/>
  <c r="K160" i="20"/>
  <c r="N160" i="20" s="1"/>
  <c r="P138" i="27"/>
  <c r="J166" i="19"/>
  <c r="J167" i="19" s="1"/>
  <c r="N91" i="19"/>
  <c r="K91" i="25"/>
  <c r="T85" i="20"/>
  <c r="M71" i="25"/>
  <c r="K161" i="18"/>
  <c r="N161" i="18" s="1"/>
  <c r="N30" i="4"/>
  <c r="Q18" i="19"/>
  <c r="X80" i="21"/>
  <c r="W80" i="21"/>
  <c r="Q8" i="19"/>
  <c r="N91" i="25"/>
  <c r="J71" i="21"/>
  <c r="K127" i="18"/>
  <c r="N127" i="18" s="1"/>
  <c r="Q8" i="18"/>
  <c r="I156" i="27"/>
  <c r="D152" i="25" s="1"/>
  <c r="N152" i="25" s="1"/>
  <c r="AC136" i="4"/>
  <c r="J166" i="20" s="1"/>
  <c r="J167" i="20" s="1"/>
  <c r="W87" i="20"/>
  <c r="T87" i="20"/>
  <c r="Q8" i="21"/>
  <c r="Q47" i="20"/>
  <c r="W143" i="27"/>
  <c r="X143" i="27"/>
  <c r="N51" i="20"/>
  <c r="N104" i="25"/>
  <c r="D48" i="19"/>
  <c r="I48" i="27"/>
  <c r="D48" i="25" s="1"/>
  <c r="N105" i="25"/>
  <c r="Q41" i="4"/>
  <c r="M84" i="4"/>
  <c r="M60" i="4" s="1"/>
  <c r="M60" i="25" s="1"/>
  <c r="D77" i="25"/>
  <c r="C56" i="20"/>
  <c r="C56" i="25"/>
  <c r="C56" i="19"/>
  <c r="C56" i="18"/>
  <c r="B50" i="18"/>
  <c r="B50" i="19" s="1"/>
  <c r="B50" i="20" s="1"/>
  <c r="B50" i="21" s="1"/>
  <c r="B50" i="25"/>
  <c r="I36" i="25"/>
  <c r="B35" i="25"/>
  <c r="B35" i="18"/>
  <c r="B35" i="19" s="1"/>
  <c r="B35" i="20" s="1"/>
  <c r="B35" i="21" s="1"/>
  <c r="C9" i="25"/>
  <c r="C9" i="20"/>
  <c r="C9" i="19"/>
  <c r="C9" i="21"/>
  <c r="C9" i="18"/>
  <c r="A8" i="18"/>
  <c r="U72" i="4"/>
  <c r="T72" i="4"/>
  <c r="V72" i="4"/>
  <c r="X72" i="4"/>
  <c r="Z72" i="4"/>
  <c r="A8" i="25"/>
  <c r="Y72" i="4"/>
  <c r="W72" i="4"/>
  <c r="N147" i="19"/>
  <c r="K147" i="19"/>
  <c r="F13" i="19"/>
  <c r="F12" i="25"/>
  <c r="J102" i="19"/>
  <c r="K86" i="19"/>
  <c r="I71" i="25"/>
  <c r="K36" i="19"/>
  <c r="N36" i="19" s="1"/>
  <c r="U138" i="4"/>
  <c r="AB138" i="4"/>
  <c r="J172" i="18"/>
  <c r="J173" i="18" s="1"/>
  <c r="K173" i="18" s="1"/>
  <c r="N173" i="18" s="1"/>
  <c r="J23" i="21"/>
  <c r="K97" i="25"/>
  <c r="N97" i="20"/>
  <c r="N135" i="4"/>
  <c r="K57" i="25"/>
  <c r="N87" i="25"/>
  <c r="V84" i="19"/>
  <c r="Q33" i="4"/>
  <c r="K147" i="21"/>
  <c r="N147" i="21"/>
  <c r="K135" i="21"/>
  <c r="N135" i="21"/>
  <c r="G31" i="20"/>
  <c r="G30" i="25"/>
  <c r="K31" i="21"/>
  <c r="N31" i="21" s="1"/>
  <c r="X80" i="20"/>
  <c r="K30" i="19"/>
  <c r="N30" i="19" s="1"/>
  <c r="Q44" i="19"/>
  <c r="N15" i="20"/>
  <c r="Q46" i="4"/>
  <c r="J80" i="21"/>
  <c r="F120" i="25"/>
  <c r="F51" i="18"/>
  <c r="F51" i="25" s="1"/>
  <c r="P50" i="21"/>
  <c r="Q50" i="21" s="1"/>
  <c r="P50" i="20"/>
  <c r="Q50" i="20" s="1"/>
  <c r="P50" i="18"/>
  <c r="Q50" i="18" s="1"/>
  <c r="K50" i="18"/>
  <c r="P50" i="4"/>
  <c r="Q50" i="4" s="1"/>
  <c r="P45" i="18"/>
  <c r="J45" i="25"/>
  <c r="P45" i="20"/>
  <c r="Q45" i="20" s="1"/>
  <c r="P45" i="21"/>
  <c r="Q45" i="21" s="1"/>
  <c r="K45" i="18"/>
  <c r="H80" i="18"/>
  <c r="J80" i="18" s="1"/>
  <c r="J80" i="25" s="1"/>
  <c r="H42" i="25"/>
  <c r="J42" i="18"/>
  <c r="P42" i="4" s="1"/>
  <c r="K39" i="18"/>
  <c r="P39" i="21"/>
  <c r="P39" i="4"/>
  <c r="K34" i="18"/>
  <c r="O34" i="20"/>
  <c r="Q34" i="20" s="1"/>
  <c r="O34" i="21"/>
  <c r="Q34" i="21" s="1"/>
  <c r="O34" i="19"/>
  <c r="Q34" i="19" s="1"/>
  <c r="P44" i="20"/>
  <c r="K44" i="19"/>
  <c r="K35" i="19"/>
  <c r="J35" i="25"/>
  <c r="K29" i="19"/>
  <c r="P29" i="20"/>
  <c r="Q29" i="20" s="1"/>
  <c r="O21" i="4"/>
  <c r="Q21" i="4" s="1"/>
  <c r="O21" i="18"/>
  <c r="Q21" i="18" s="1"/>
  <c r="K21" i="19"/>
  <c r="N21" i="19" s="1"/>
  <c r="P11" i="20"/>
  <c r="J11" i="25"/>
  <c r="P11" i="18"/>
  <c r="Q11" i="18" s="1"/>
  <c r="Q11" i="4"/>
  <c r="J52" i="21"/>
  <c r="K20" i="25"/>
  <c r="Q47" i="18"/>
  <c r="O141" i="27"/>
  <c r="D102" i="18"/>
  <c r="E12" i="27"/>
  <c r="K112" i="4"/>
  <c r="A106" i="18"/>
  <c r="A106" i="19" s="1"/>
  <c r="A106" i="20" s="1"/>
  <c r="A106" i="21" s="1"/>
  <c r="A106" i="25"/>
  <c r="H12" i="4"/>
  <c r="J12" i="4" s="1"/>
  <c r="P12" i="19" s="1"/>
  <c r="H102" i="25"/>
  <c r="C101" i="20"/>
  <c r="C101" i="25"/>
  <c r="C101" i="19"/>
  <c r="T90" i="4"/>
  <c r="A100" i="18"/>
  <c r="Z90" i="4"/>
  <c r="W90" i="4"/>
  <c r="X90" i="4"/>
  <c r="U90" i="4"/>
  <c r="A100" i="25"/>
  <c r="C98" i="21"/>
  <c r="C98" i="20"/>
  <c r="C98" i="18"/>
  <c r="B95" i="19"/>
  <c r="B95" i="21"/>
  <c r="Z84" i="4"/>
  <c r="V84" i="4"/>
  <c r="Y84" i="4"/>
  <c r="W84" i="4"/>
  <c r="K114" i="18"/>
  <c r="P21" i="20"/>
  <c r="Q21" i="20" s="1"/>
  <c r="P21" i="19"/>
  <c r="Q21" i="19" s="1"/>
  <c r="K132" i="21"/>
  <c r="N132" i="21"/>
  <c r="D154" i="4"/>
  <c r="D159" i="27"/>
  <c r="D155" i="4" s="1"/>
  <c r="F51" i="27"/>
  <c r="D120" i="19"/>
  <c r="C113" i="20"/>
  <c r="C113" i="21" s="1"/>
  <c r="C113" i="19"/>
  <c r="A107" i="18"/>
  <c r="A107" i="19" s="1"/>
  <c r="A107" i="20" s="1"/>
  <c r="A107" i="21" s="1"/>
  <c r="A107" i="25"/>
  <c r="A88" i="18"/>
  <c r="Y78" i="4"/>
  <c r="A88" i="25"/>
  <c r="G68" i="4"/>
  <c r="I68" i="4"/>
  <c r="J68" i="4" s="1"/>
  <c r="H68" i="4"/>
  <c r="J81" i="4"/>
  <c r="J81" i="25" s="1"/>
  <c r="P49" i="20"/>
  <c r="Q49" i="20" s="1"/>
  <c r="P49" i="18"/>
  <c r="Q49" i="18" s="1"/>
  <c r="P49" i="4"/>
  <c r="Q49" i="4" s="1"/>
  <c r="P44" i="21"/>
  <c r="K40" i="4"/>
  <c r="K98" i="19"/>
  <c r="K94" i="19"/>
  <c r="P17" i="21"/>
  <c r="P17" i="20"/>
  <c r="P17" i="4"/>
  <c r="K47" i="21"/>
  <c r="N47" i="21" s="1"/>
  <c r="C15" i="19"/>
  <c r="C15" i="25"/>
  <c r="C15" i="18"/>
  <c r="N101" i="25"/>
  <c r="Q47" i="21"/>
  <c r="C99" i="21"/>
  <c r="V78" i="4"/>
  <c r="D68" i="25"/>
  <c r="G109" i="25"/>
  <c r="I51" i="4"/>
  <c r="I120" i="25"/>
  <c r="C108" i="25"/>
  <c r="C108" i="19"/>
  <c r="C108" i="18"/>
  <c r="X82" i="4"/>
  <c r="A92" i="25"/>
  <c r="T82" i="4"/>
  <c r="Z73" i="4"/>
  <c r="A9" i="25"/>
  <c r="U73" i="4"/>
  <c r="J102" i="21"/>
  <c r="Q11" i="20"/>
  <c r="Q33" i="21"/>
  <c r="Q16" i="4"/>
  <c r="K80" i="21"/>
  <c r="N80" i="21" s="1"/>
  <c r="A104" i="18"/>
  <c r="A104" i="19" s="1"/>
  <c r="A104" i="20" s="1"/>
  <c r="A104" i="21" s="1"/>
  <c r="P44" i="18"/>
  <c r="J49" i="25"/>
  <c r="D42" i="4"/>
  <c r="B105" i="20"/>
  <c r="B105" i="18"/>
  <c r="Y76" i="4"/>
  <c r="Z76" i="4"/>
  <c r="A86" i="25"/>
  <c r="V76" i="4"/>
  <c r="U76" i="4"/>
  <c r="C44" i="19"/>
  <c r="C44" i="18"/>
  <c r="P11" i="19"/>
  <c r="Q11" i="19" s="1"/>
  <c r="L52" i="20"/>
  <c r="K171" i="18"/>
  <c r="K162" i="20"/>
  <c r="G66" i="4"/>
  <c r="M66" i="4"/>
  <c r="M66" i="25" s="1"/>
  <c r="L66" i="4"/>
  <c r="L66" i="25" s="1"/>
  <c r="D52" i="27"/>
  <c r="D52" i="4" s="1"/>
  <c r="E83" i="27"/>
  <c r="D42" i="18"/>
  <c r="C100" i="20"/>
  <c r="C100" i="18"/>
  <c r="J98" i="25"/>
  <c r="B97" i="19"/>
  <c r="B97" i="20"/>
  <c r="B97" i="25"/>
  <c r="T79" i="4"/>
  <c r="A89" i="18"/>
  <c r="X79" i="4"/>
  <c r="W79" i="4"/>
  <c r="C87" i="21"/>
  <c r="C87" i="19"/>
  <c r="C87" i="18"/>
  <c r="P39" i="19"/>
  <c r="Q38" i="19"/>
  <c r="N20" i="25"/>
  <c r="Q50" i="19"/>
  <c r="Q47" i="19"/>
  <c r="Q45" i="18"/>
  <c r="D127" i="4"/>
  <c r="N135" i="25"/>
  <c r="C95" i="18"/>
  <c r="C95" i="19"/>
  <c r="C95" i="25"/>
  <c r="C91" i="19"/>
  <c r="C91" i="21"/>
  <c r="P33" i="19"/>
  <c r="Q33" i="19" s="1"/>
  <c r="P33" i="18"/>
  <c r="Q33" i="18" s="1"/>
  <c r="K15" i="18"/>
  <c r="N15" i="18" s="1"/>
  <c r="J15" i="25"/>
  <c r="K119" i="21"/>
  <c r="N119" i="21" s="1"/>
  <c r="B38" i="25"/>
  <c r="K116" i="18"/>
  <c r="N116" i="18" s="1"/>
  <c r="K100" i="19"/>
  <c r="K96" i="19"/>
  <c r="N96" i="19" s="1"/>
  <c r="K165" i="4"/>
  <c r="N165" i="4" s="1"/>
  <c r="H68" i="18"/>
  <c r="I52" i="19"/>
  <c r="J52" i="19" s="1"/>
  <c r="K10" i="4"/>
  <c r="M52" i="19"/>
  <c r="K40" i="20"/>
  <c r="N40" i="20" s="1"/>
  <c r="K44" i="21"/>
  <c r="N44" i="21" s="1"/>
  <c r="K28" i="21"/>
  <c r="I66" i="25"/>
  <c r="E75" i="27"/>
  <c r="K108" i="18"/>
  <c r="N108" i="18" s="1"/>
  <c r="K21" i="18"/>
  <c r="N21" i="18" s="1"/>
  <c r="K22" i="20"/>
  <c r="K33" i="21"/>
  <c r="N33" i="21" s="1"/>
  <c r="K180" i="4"/>
  <c r="N180" i="4" s="1"/>
  <c r="M52" i="4"/>
  <c r="G75" i="27"/>
  <c r="E68" i="18"/>
  <c r="K138" i="20"/>
  <c r="H75" i="27"/>
  <c r="F68" i="18"/>
  <c r="J130" i="4"/>
  <c r="J131" i="4" s="1"/>
  <c r="N123" i="25"/>
  <c r="J90" i="25"/>
  <c r="K135" i="19"/>
  <c r="K183" i="19" s="1"/>
  <c r="K118" i="21"/>
  <c r="K88" i="21"/>
  <c r="F52" i="20"/>
  <c r="I68" i="18"/>
  <c r="J68" i="18" s="1"/>
  <c r="I67" i="25"/>
  <c r="E67" i="25"/>
  <c r="F67" i="25"/>
  <c r="G67" i="25"/>
  <c r="F67" i="18"/>
  <c r="G67" i="18"/>
  <c r="H67" i="18"/>
  <c r="I67" i="18"/>
  <c r="M67" i="4"/>
  <c r="M67" i="25" s="1"/>
  <c r="I67" i="4"/>
  <c r="D66" i="21"/>
  <c r="F66" i="25"/>
  <c r="I66" i="4"/>
  <c r="D152" i="21"/>
  <c r="J152" i="18"/>
  <c r="N175" i="25"/>
  <c r="J175" i="25"/>
  <c r="K175" i="25" s="1"/>
  <c r="K175" i="21"/>
  <c r="N175" i="21" s="1"/>
  <c r="J176" i="21"/>
  <c r="K176" i="21" s="1"/>
  <c r="N176" i="21" s="1"/>
  <c r="J127" i="21"/>
  <c r="J128" i="21" s="1"/>
  <c r="K128" i="21" s="1"/>
  <c r="N128" i="21" s="1"/>
  <c r="X123" i="4"/>
  <c r="J148" i="21"/>
  <c r="J149" i="21" s="1"/>
  <c r="P30" i="18"/>
  <c r="P30" i="21"/>
  <c r="P30" i="20"/>
  <c r="J30" i="25"/>
  <c r="P30" i="4"/>
  <c r="P30" i="19"/>
  <c r="N127" i="25"/>
  <c r="N163" i="25"/>
  <c r="F138" i="27"/>
  <c r="U86" i="21"/>
  <c r="T76" i="21"/>
  <c r="T73" i="19"/>
  <c r="N119" i="19"/>
  <c r="N119" i="25" s="1"/>
  <c r="K119" i="25"/>
  <c r="K120" i="19"/>
  <c r="V84" i="21"/>
  <c r="Z84" i="21"/>
  <c r="Q134" i="27"/>
  <c r="G149" i="27"/>
  <c r="K96" i="25"/>
  <c r="N96" i="20"/>
  <c r="K102" i="20"/>
  <c r="K12" i="20" s="1"/>
  <c r="J176" i="18"/>
  <c r="J176" i="25" s="1"/>
  <c r="K175" i="18"/>
  <c r="N175" i="18" s="1"/>
  <c r="N12" i="18"/>
  <c r="K13" i="18"/>
  <c r="N13" i="18" s="1"/>
  <c r="N11" i="21"/>
  <c r="N11" i="25" s="1"/>
  <c r="K11" i="25"/>
  <c r="K152" i="19"/>
  <c r="N152" i="19" s="1"/>
  <c r="J154" i="21"/>
  <c r="X132" i="4"/>
  <c r="Z89" i="21"/>
  <c r="U76" i="21"/>
  <c r="V76" i="21"/>
  <c r="K42" i="18"/>
  <c r="J42" i="25"/>
  <c r="P42" i="21"/>
  <c r="P42" i="20"/>
  <c r="P42" i="19"/>
  <c r="J179" i="20"/>
  <c r="W89" i="21"/>
  <c r="Y76" i="21"/>
  <c r="J148" i="20"/>
  <c r="J149" i="20" s="1"/>
  <c r="V130" i="4"/>
  <c r="J148" i="19"/>
  <c r="N183" i="19"/>
  <c r="J183" i="25"/>
  <c r="U89" i="21"/>
  <c r="J164" i="4"/>
  <c r="K163" i="4"/>
  <c r="D172" i="4"/>
  <c r="D177" i="27"/>
  <c r="Z73" i="19"/>
  <c r="W73" i="19"/>
  <c r="X73" i="19"/>
  <c r="V73" i="19"/>
  <c r="A9" i="20"/>
  <c r="Z86" i="21"/>
  <c r="X89" i="21"/>
  <c r="J181" i="20"/>
  <c r="J182" i="20" s="1"/>
  <c r="X86" i="21"/>
  <c r="N166" i="4"/>
  <c r="K166" i="4"/>
  <c r="K143" i="4"/>
  <c r="N143" i="4"/>
  <c r="K95" i="25"/>
  <c r="N95" i="4"/>
  <c r="N95" i="25" s="1"/>
  <c r="N33" i="4"/>
  <c r="K33" i="25"/>
  <c r="I168" i="27"/>
  <c r="D164" i="25" s="1"/>
  <c r="Y86" i="21"/>
  <c r="J151" i="20"/>
  <c r="AD131" i="4"/>
  <c r="W136" i="4"/>
  <c r="AD136" i="4"/>
  <c r="J179" i="19"/>
  <c r="K56" i="25"/>
  <c r="N56" i="18"/>
  <c r="N56" i="25" s="1"/>
  <c r="T87" i="21"/>
  <c r="X87" i="21"/>
  <c r="U75" i="20"/>
  <c r="Y75" i="20"/>
  <c r="W75" i="20"/>
  <c r="T75" i="20"/>
  <c r="N90" i="25"/>
  <c r="J163" i="19"/>
  <c r="N16" i="20"/>
  <c r="N16" i="25" s="1"/>
  <c r="K16" i="25"/>
  <c r="N21" i="4"/>
  <c r="K21" i="25"/>
  <c r="T84" i="20"/>
  <c r="Y84" i="20"/>
  <c r="A87" i="21"/>
  <c r="Y77" i="20"/>
  <c r="T77" i="20"/>
  <c r="K142" i="4"/>
  <c r="N142" i="4"/>
  <c r="N107" i="25"/>
  <c r="U135" i="27"/>
  <c r="O135" i="27"/>
  <c r="E152" i="27"/>
  <c r="J13" i="20"/>
  <c r="G13" i="25"/>
  <c r="N96" i="25"/>
  <c r="D181" i="18"/>
  <c r="K181" i="18" s="1"/>
  <c r="N181" i="18" s="1"/>
  <c r="E186" i="27"/>
  <c r="E67" i="19"/>
  <c r="M67" i="19"/>
  <c r="I67" i="19"/>
  <c r="G67" i="19"/>
  <c r="H67" i="19"/>
  <c r="F67" i="19"/>
  <c r="L67" i="19"/>
  <c r="E12" i="25"/>
  <c r="E13" i="18"/>
  <c r="AD125" i="4"/>
  <c r="K158" i="4"/>
  <c r="X132" i="27"/>
  <c r="G143" i="27"/>
  <c r="Q132" i="27"/>
  <c r="K118" i="25"/>
  <c r="N118" i="19"/>
  <c r="N106" i="25"/>
  <c r="E132" i="27"/>
  <c r="V128" i="4"/>
  <c r="Z74" i="19"/>
  <c r="Y74" i="19"/>
  <c r="T74" i="19"/>
  <c r="U74" i="19"/>
  <c r="N19" i="21"/>
  <c r="N19" i="25" s="1"/>
  <c r="K86" i="25"/>
  <c r="I23" i="25"/>
  <c r="A95" i="21"/>
  <c r="Z85" i="20"/>
  <c r="I68" i="21"/>
  <c r="J68" i="21" s="1"/>
  <c r="E68" i="21"/>
  <c r="F68" i="21"/>
  <c r="G31" i="25"/>
  <c r="J31" i="19"/>
  <c r="N108" i="21"/>
  <c r="N108" i="25" s="1"/>
  <c r="K108" i="25"/>
  <c r="AB122" i="4"/>
  <c r="AC122" i="4" s="1"/>
  <c r="J124" i="18"/>
  <c r="M67" i="20"/>
  <c r="H67" i="20"/>
  <c r="L67" i="20"/>
  <c r="I67" i="20"/>
  <c r="N97" i="25"/>
  <c r="V78" i="18"/>
  <c r="Y78" i="18"/>
  <c r="W78" i="18"/>
  <c r="U78" i="18"/>
  <c r="A88" i="19"/>
  <c r="I155" i="27"/>
  <c r="D151" i="25" s="1"/>
  <c r="Z80" i="21"/>
  <c r="Y80" i="21"/>
  <c r="V80" i="21"/>
  <c r="T80" i="21"/>
  <c r="Q33" i="20"/>
  <c r="AD135" i="4"/>
  <c r="U85" i="20"/>
  <c r="U139" i="4"/>
  <c r="Z75" i="21"/>
  <c r="E174" i="27"/>
  <c r="K151" i="18"/>
  <c r="N151" i="18" s="1"/>
  <c r="N177" i="25"/>
  <c r="K177" i="25"/>
  <c r="Q41" i="20"/>
  <c r="V85" i="20"/>
  <c r="E79" i="21"/>
  <c r="K116" i="25"/>
  <c r="V123" i="4"/>
  <c r="E71" i="19"/>
  <c r="E23" i="19"/>
  <c r="J12" i="25"/>
  <c r="P12" i="4"/>
  <c r="AC128" i="4"/>
  <c r="J142" i="18"/>
  <c r="U128" i="4"/>
  <c r="F140" i="27"/>
  <c r="K31" i="4"/>
  <c r="D52" i="18"/>
  <c r="J127" i="20"/>
  <c r="K127" i="20" s="1"/>
  <c r="N127" i="20" s="1"/>
  <c r="W123" i="4"/>
  <c r="K46" i="25"/>
  <c r="N46" i="19"/>
  <c r="N46" i="25" s="1"/>
  <c r="N117" i="18"/>
  <c r="N117" i="25" s="1"/>
  <c r="K120" i="18"/>
  <c r="N89" i="18"/>
  <c r="N102" i="18" s="1"/>
  <c r="K89" i="25"/>
  <c r="K30" i="21"/>
  <c r="N30" i="21" s="1"/>
  <c r="K154" i="18"/>
  <c r="N154" i="18" s="1"/>
  <c r="E146" i="27"/>
  <c r="U133" i="27"/>
  <c r="O133" i="27"/>
  <c r="L71" i="4"/>
  <c r="L23" i="4"/>
  <c r="L13" i="25"/>
  <c r="J133" i="19"/>
  <c r="J134" i="19" s="1"/>
  <c r="W85" i="20"/>
  <c r="G68" i="21"/>
  <c r="J160" i="21"/>
  <c r="J160" i="25" s="1"/>
  <c r="X134" i="4"/>
  <c r="X134" i="27"/>
  <c r="Q46" i="21"/>
  <c r="K47" i="25"/>
  <c r="N47" i="20"/>
  <c r="F170" i="27"/>
  <c r="W141" i="27"/>
  <c r="W131" i="27"/>
  <c r="K155" i="18"/>
  <c r="N155" i="18" s="1"/>
  <c r="D30" i="20"/>
  <c r="K30" i="20" s="1"/>
  <c r="N30" i="20" s="1"/>
  <c r="G31" i="27"/>
  <c r="J133" i="4"/>
  <c r="T125" i="4"/>
  <c r="I66" i="19"/>
  <c r="G66" i="19"/>
  <c r="H66" i="19"/>
  <c r="E66" i="19"/>
  <c r="F66" i="19"/>
  <c r="I30" i="27"/>
  <c r="D30" i="25" s="1"/>
  <c r="F159" i="27"/>
  <c r="D154" i="19"/>
  <c r="K154" i="19" s="1"/>
  <c r="N154" i="19" s="1"/>
  <c r="D30" i="18"/>
  <c r="E31" i="27"/>
  <c r="D180" i="27"/>
  <c r="D175" i="4"/>
  <c r="O146" i="27"/>
  <c r="U146" i="27"/>
  <c r="H52" i="20"/>
  <c r="N49" i="20"/>
  <c r="K81" i="20"/>
  <c r="T141" i="4"/>
  <c r="J181" i="4"/>
  <c r="I52" i="20"/>
  <c r="E171" i="27"/>
  <c r="D166" i="18"/>
  <c r="K166" i="18" s="1"/>
  <c r="N166" i="18" s="1"/>
  <c r="O127" i="27"/>
  <c r="E128" i="27"/>
  <c r="M52" i="20"/>
  <c r="M52" i="25" s="1"/>
  <c r="X77" i="18"/>
  <c r="V77" i="18"/>
  <c r="T77" i="18"/>
  <c r="F164" i="27"/>
  <c r="P139" i="27"/>
  <c r="K135" i="25" s="1"/>
  <c r="H66" i="25"/>
  <c r="E66" i="4"/>
  <c r="F66" i="4"/>
  <c r="H66" i="4"/>
  <c r="U127" i="27"/>
  <c r="F67" i="4"/>
  <c r="E67" i="4"/>
  <c r="G67" i="4"/>
  <c r="E66" i="25"/>
  <c r="D69" i="18"/>
  <c r="F70" i="27"/>
  <c r="G69" i="25"/>
  <c r="E69" i="25"/>
  <c r="W127" i="27" l="1"/>
  <c r="X127" i="27"/>
  <c r="T142" i="4"/>
  <c r="J82" i="4" s="1"/>
  <c r="N98" i="19"/>
  <c r="N98" i="25" s="1"/>
  <c r="K98" i="25"/>
  <c r="F72" i="4"/>
  <c r="J170" i="21"/>
  <c r="J170" i="25" s="1"/>
  <c r="J169" i="25"/>
  <c r="J102" i="25"/>
  <c r="K183" i="18"/>
  <c r="K48" i="18" s="1"/>
  <c r="Q17" i="20"/>
  <c r="D72" i="19"/>
  <c r="F77" i="27"/>
  <c r="F76" i="27"/>
  <c r="N49" i="19"/>
  <c r="N49" i="25" s="1"/>
  <c r="K49" i="25"/>
  <c r="K80" i="20"/>
  <c r="N80" i="20" s="1"/>
  <c r="N42" i="20"/>
  <c r="N48" i="18"/>
  <c r="N99" i="4"/>
  <c r="N99" i="25" s="1"/>
  <c r="K99" i="25"/>
  <c r="F73" i="4"/>
  <c r="H74" i="27"/>
  <c r="H76" i="27" s="1"/>
  <c r="N47" i="25"/>
  <c r="N102" i="20"/>
  <c r="J145" i="18"/>
  <c r="K145" i="18" s="1"/>
  <c r="N145" i="18" s="1"/>
  <c r="N118" i="21"/>
  <c r="N120" i="21" s="1"/>
  <c r="K120" i="21"/>
  <c r="E77" i="27"/>
  <c r="D72" i="18"/>
  <c r="D80" i="18"/>
  <c r="I83" i="27"/>
  <c r="D80" i="25" s="1"/>
  <c r="E68" i="25"/>
  <c r="H68" i="25"/>
  <c r="G68" i="25"/>
  <c r="F68" i="25"/>
  <c r="I68" i="25"/>
  <c r="J68" i="25" s="1"/>
  <c r="N40" i="4"/>
  <c r="N40" i="25" s="1"/>
  <c r="K40" i="25"/>
  <c r="U90" i="18"/>
  <c r="T90" i="18"/>
  <c r="A100" i="19"/>
  <c r="X90" i="18"/>
  <c r="V90" i="18"/>
  <c r="W90" i="18"/>
  <c r="Y90" i="18"/>
  <c r="Z90" i="18"/>
  <c r="N29" i="19"/>
  <c r="N29" i="25" s="1"/>
  <c r="K29" i="25"/>
  <c r="N34" i="18"/>
  <c r="N34" i="25" s="1"/>
  <c r="K34" i="25"/>
  <c r="G79" i="20"/>
  <c r="J31" i="20"/>
  <c r="J79" i="20" s="1"/>
  <c r="K183" i="21"/>
  <c r="G72" i="4"/>
  <c r="G74" i="4" s="1"/>
  <c r="G25" i="4" s="1"/>
  <c r="G161" i="27"/>
  <c r="Q138" i="27"/>
  <c r="X138" i="27"/>
  <c r="J130" i="25"/>
  <c r="J131" i="21"/>
  <c r="J131" i="25" s="1"/>
  <c r="D135" i="27"/>
  <c r="D131" i="4" s="1"/>
  <c r="D130" i="4"/>
  <c r="K172" i="18"/>
  <c r="N172" i="18" s="1"/>
  <c r="X130" i="27"/>
  <c r="G137" i="27"/>
  <c r="Q130" i="27"/>
  <c r="K36" i="4"/>
  <c r="P36" i="18"/>
  <c r="Q36" i="18" s="1"/>
  <c r="P36" i="20"/>
  <c r="Q36" i="20" s="1"/>
  <c r="P36" i="19"/>
  <c r="P36" i="21"/>
  <c r="P36" i="4"/>
  <c r="Q36" i="4" s="1"/>
  <c r="J36" i="25"/>
  <c r="U81" i="18"/>
  <c r="Y81" i="18"/>
  <c r="Z81" i="18"/>
  <c r="A91" i="19"/>
  <c r="V81" i="18"/>
  <c r="X81" i="18"/>
  <c r="W81" i="18"/>
  <c r="T81" i="18"/>
  <c r="D13" i="4"/>
  <c r="Q39" i="19"/>
  <c r="J158" i="21"/>
  <c r="J158" i="25" s="1"/>
  <c r="J157" i="25"/>
  <c r="N178" i="4"/>
  <c r="K178" i="4"/>
  <c r="Q44" i="20"/>
  <c r="Q17" i="4"/>
  <c r="J146" i="4"/>
  <c r="K146" i="4" s="1"/>
  <c r="K145" i="4"/>
  <c r="J139" i="21"/>
  <c r="J140" i="21" s="1"/>
  <c r="X127" i="4"/>
  <c r="N114" i="18"/>
  <c r="N114" i="25" s="1"/>
  <c r="K114" i="25"/>
  <c r="E72" i="4"/>
  <c r="O129" i="27"/>
  <c r="E134" i="27"/>
  <c r="T147" i="27"/>
  <c r="D179" i="4"/>
  <c r="F52" i="18"/>
  <c r="F52" i="25" s="1"/>
  <c r="D48" i="21"/>
  <c r="H52" i="27"/>
  <c r="D52" i="21" s="1"/>
  <c r="K52" i="21" s="1"/>
  <c r="N52" i="21" s="1"/>
  <c r="Q39" i="21"/>
  <c r="N8" i="21"/>
  <c r="N8" i="25" s="1"/>
  <c r="K8" i="25"/>
  <c r="K102" i="4"/>
  <c r="N21" i="25"/>
  <c r="J179" i="25"/>
  <c r="N33" i="25"/>
  <c r="P42" i="18"/>
  <c r="P31" i="21"/>
  <c r="N28" i="21"/>
  <c r="N28" i="25" s="1"/>
  <c r="K28" i="25"/>
  <c r="Z78" i="18"/>
  <c r="X78" i="18"/>
  <c r="T78" i="18"/>
  <c r="N154" i="4"/>
  <c r="K154" i="4"/>
  <c r="N44" i="19"/>
  <c r="N44" i="25" s="1"/>
  <c r="K44" i="25"/>
  <c r="N39" i="18"/>
  <c r="N39" i="25" s="1"/>
  <c r="K39" i="25"/>
  <c r="K183" i="4"/>
  <c r="N183" i="4" s="1"/>
  <c r="H72" i="4"/>
  <c r="H74" i="4" s="1"/>
  <c r="H25" i="4" s="1"/>
  <c r="X72" i="18"/>
  <c r="Z72" i="18"/>
  <c r="Y72" i="18"/>
  <c r="T72" i="18"/>
  <c r="U72" i="18"/>
  <c r="V72" i="18"/>
  <c r="A8" i="19"/>
  <c r="W72" i="18"/>
  <c r="K48" i="19"/>
  <c r="N48" i="19" s="1"/>
  <c r="F82" i="27"/>
  <c r="D79" i="19" s="1"/>
  <c r="D31" i="19"/>
  <c r="Q15" i="4"/>
  <c r="D178" i="18"/>
  <c r="K178" i="18" s="1"/>
  <c r="N178" i="18" s="1"/>
  <c r="E183" i="27"/>
  <c r="D179" i="18" s="1"/>
  <c r="K179" i="18" s="1"/>
  <c r="N179" i="18" s="1"/>
  <c r="Q36" i="21"/>
  <c r="N38" i="4"/>
  <c r="N38" i="25" s="1"/>
  <c r="K38" i="25"/>
  <c r="J48" i="25"/>
  <c r="P48" i="19"/>
  <c r="P48" i="20"/>
  <c r="P48" i="4"/>
  <c r="P48" i="21"/>
  <c r="Q39" i="4"/>
  <c r="N17" i="4"/>
  <c r="N17" i="25" s="1"/>
  <c r="K17" i="25"/>
  <c r="D51" i="19"/>
  <c r="I51" i="27"/>
  <c r="D51" i="25" s="1"/>
  <c r="F52" i="27"/>
  <c r="I52" i="27" s="1"/>
  <c r="D52" i="25" s="1"/>
  <c r="N127" i="4"/>
  <c r="K127" i="4"/>
  <c r="N35" i="19"/>
  <c r="N35" i="25" s="1"/>
  <c r="K35" i="25"/>
  <c r="N100" i="19"/>
  <c r="N100" i="25" s="1"/>
  <c r="K100" i="25"/>
  <c r="J172" i="19"/>
  <c r="V138" i="4"/>
  <c r="AC138" i="4"/>
  <c r="N86" i="19"/>
  <c r="K102" i="19"/>
  <c r="K12" i="19" s="1"/>
  <c r="L72" i="4"/>
  <c r="L74" i="4" s="1"/>
  <c r="L25" i="4" s="1"/>
  <c r="Q15" i="18"/>
  <c r="H182" i="27"/>
  <c r="R145" i="27"/>
  <c r="G71" i="4"/>
  <c r="G23" i="4"/>
  <c r="T86" i="21"/>
  <c r="W86" i="21"/>
  <c r="V86" i="21"/>
  <c r="Z91" i="20"/>
  <c r="T91" i="20"/>
  <c r="W91" i="20"/>
  <c r="Y91" i="20"/>
  <c r="X91" i="20"/>
  <c r="U91" i="20"/>
  <c r="A101" i="21"/>
  <c r="V91" i="20"/>
  <c r="X141" i="4"/>
  <c r="J181" i="21"/>
  <c r="J182" i="21" s="1"/>
  <c r="G77" i="27"/>
  <c r="D72" i="20"/>
  <c r="O42" i="19"/>
  <c r="Q42" i="19" s="1"/>
  <c r="O42" i="21"/>
  <c r="Q42" i="21" s="1"/>
  <c r="K42" i="4"/>
  <c r="O42" i="4"/>
  <c r="Q42" i="4" s="1"/>
  <c r="O42" i="18"/>
  <c r="O42" i="20"/>
  <c r="Q42" i="20" s="1"/>
  <c r="E13" i="27"/>
  <c r="D12" i="18"/>
  <c r="N50" i="18"/>
  <c r="N50" i="25" s="1"/>
  <c r="K50" i="25"/>
  <c r="U129" i="27"/>
  <c r="N9" i="21"/>
  <c r="N9" i="25" s="1"/>
  <c r="K9" i="25"/>
  <c r="P142" i="27"/>
  <c r="K138" i="25" s="1"/>
  <c r="F173" i="27"/>
  <c r="L52" i="18"/>
  <c r="L52" i="25" s="1"/>
  <c r="L51" i="25"/>
  <c r="E52" i="25"/>
  <c r="A10" i="20"/>
  <c r="W74" i="19"/>
  <c r="X74" i="19"/>
  <c r="V74" i="19"/>
  <c r="F143" i="27"/>
  <c r="P132" i="27"/>
  <c r="Q44" i="18"/>
  <c r="W142" i="27"/>
  <c r="I75" i="27"/>
  <c r="D72" i="25" s="1"/>
  <c r="N113" i="4"/>
  <c r="N113" i="25" s="1"/>
  <c r="K113" i="25"/>
  <c r="D13" i="21"/>
  <c r="N102" i="4"/>
  <c r="U129" i="4"/>
  <c r="U142" i="4" s="1"/>
  <c r="J82" i="18" s="1"/>
  <c r="D72" i="21"/>
  <c r="H77" i="27"/>
  <c r="I52" i="4"/>
  <c r="J52" i="4" s="1"/>
  <c r="K52" i="4" s="1"/>
  <c r="N52" i="4" s="1"/>
  <c r="J51" i="4"/>
  <c r="I51" i="25"/>
  <c r="N94" i="19"/>
  <c r="N94" i="25" s="1"/>
  <c r="K94" i="25"/>
  <c r="H13" i="4"/>
  <c r="J13" i="4" s="1"/>
  <c r="H12" i="25"/>
  <c r="N15" i="25"/>
  <c r="M72" i="4"/>
  <c r="M73" i="4" s="1"/>
  <c r="M24" i="4" s="1"/>
  <c r="H176" i="27"/>
  <c r="R143" i="27"/>
  <c r="G182" i="27"/>
  <c r="Q145" i="27"/>
  <c r="N18" i="21"/>
  <c r="N18" i="25" s="1"/>
  <c r="K18" i="25"/>
  <c r="J140" i="19"/>
  <c r="J140" i="25" s="1"/>
  <c r="J139" i="25"/>
  <c r="D25" i="27"/>
  <c r="D25" i="4" s="1"/>
  <c r="D74" i="4"/>
  <c r="X76" i="21"/>
  <c r="Z76" i="21"/>
  <c r="W76" i="21"/>
  <c r="D139" i="18"/>
  <c r="K139" i="18" s="1"/>
  <c r="N139" i="18" s="1"/>
  <c r="E144" i="27"/>
  <c r="D140" i="18" s="1"/>
  <c r="K140" i="18" s="1"/>
  <c r="N140" i="18" s="1"/>
  <c r="Q44" i="21"/>
  <c r="P31" i="18"/>
  <c r="N112" i="4"/>
  <c r="N112" i="25" s="1"/>
  <c r="K112" i="25"/>
  <c r="K120" i="4"/>
  <c r="N155" i="4"/>
  <c r="K155" i="4"/>
  <c r="J51" i="18"/>
  <c r="K51" i="18" s="1"/>
  <c r="P12" i="20"/>
  <c r="P12" i="18"/>
  <c r="P12" i="21"/>
  <c r="AA142" i="4"/>
  <c r="N22" i="20"/>
  <c r="N22" i="25" s="1"/>
  <c r="K22" i="25"/>
  <c r="F74" i="4"/>
  <c r="O147" i="27"/>
  <c r="E85" i="27" s="1"/>
  <c r="K127" i="21"/>
  <c r="N127" i="21" s="1"/>
  <c r="N88" i="21"/>
  <c r="K88" i="25"/>
  <c r="K102" i="21"/>
  <c r="K12" i="21" s="1"/>
  <c r="K183" i="20"/>
  <c r="N10" i="4"/>
  <c r="N10" i="25" s="1"/>
  <c r="K10" i="25"/>
  <c r="Y79" i="18"/>
  <c r="X79" i="18"/>
  <c r="W79" i="18"/>
  <c r="Z79" i="18"/>
  <c r="A89" i="19"/>
  <c r="T79" i="18"/>
  <c r="E72" i="18" s="1"/>
  <c r="U79" i="18"/>
  <c r="V79" i="18"/>
  <c r="N45" i="18"/>
  <c r="N45" i="25" s="1"/>
  <c r="K45" i="25"/>
  <c r="K15" i="25"/>
  <c r="F71" i="19"/>
  <c r="F71" i="25" s="1"/>
  <c r="F23" i="19"/>
  <c r="F23" i="25" s="1"/>
  <c r="J13" i="19"/>
  <c r="F13" i="25"/>
  <c r="I72" i="4"/>
  <c r="G176" i="27"/>
  <c r="Q143" i="27"/>
  <c r="Q36" i="19"/>
  <c r="K172" i="19"/>
  <c r="N172" i="19" s="1"/>
  <c r="Q39" i="20"/>
  <c r="I12" i="27"/>
  <c r="D12" i="25" s="1"/>
  <c r="D13" i="27"/>
  <c r="P145" i="27"/>
  <c r="K141" i="25" s="1"/>
  <c r="F182" i="27"/>
  <c r="W129" i="27"/>
  <c r="Q39" i="18"/>
  <c r="L31" i="25"/>
  <c r="L79" i="4"/>
  <c r="Q17" i="21"/>
  <c r="D169" i="18"/>
  <c r="K169" i="18" s="1"/>
  <c r="N169" i="18" s="1"/>
  <c r="M74" i="4"/>
  <c r="D66" i="20"/>
  <c r="G76" i="27"/>
  <c r="W129" i="4"/>
  <c r="J145" i="20"/>
  <c r="J146" i="20" s="1"/>
  <c r="J124" i="20"/>
  <c r="J125" i="20" s="1"/>
  <c r="W122" i="4"/>
  <c r="N175" i="4"/>
  <c r="K175" i="4"/>
  <c r="Q127" i="27"/>
  <c r="G128" i="27"/>
  <c r="D176" i="4"/>
  <c r="I180" i="27"/>
  <c r="D176" i="25" s="1"/>
  <c r="K82" i="4"/>
  <c r="R134" i="27"/>
  <c r="H149" i="27"/>
  <c r="J143" i="18"/>
  <c r="J163" i="21"/>
  <c r="X135" i="4"/>
  <c r="J142" i="20"/>
  <c r="J143" i="20" s="1"/>
  <c r="W128" i="4"/>
  <c r="D23" i="21"/>
  <c r="K23" i="21" s="1"/>
  <c r="N23" i="21" s="1"/>
  <c r="Y85" i="21"/>
  <c r="U85" i="21"/>
  <c r="Z85" i="21"/>
  <c r="V85" i="21"/>
  <c r="X85" i="21"/>
  <c r="T85" i="21"/>
  <c r="W85" i="21"/>
  <c r="N42" i="18"/>
  <c r="K42" i="25"/>
  <c r="K80" i="18"/>
  <c r="J134" i="4"/>
  <c r="K133" i="4"/>
  <c r="G82" i="27"/>
  <c r="D79" i="20" s="1"/>
  <c r="D31" i="20"/>
  <c r="K31" i="20" s="1"/>
  <c r="P127" i="27"/>
  <c r="F128" i="27"/>
  <c r="U147" i="27"/>
  <c r="D167" i="18"/>
  <c r="K167" i="18" s="1"/>
  <c r="N167" i="18" s="1"/>
  <c r="N118" i="25"/>
  <c r="N120" i="19"/>
  <c r="N89" i="25"/>
  <c r="P31" i="19"/>
  <c r="F141" i="27"/>
  <c r="D136" i="19"/>
  <c r="K136" i="19" s="1"/>
  <c r="N136" i="19" s="1"/>
  <c r="E82" i="27"/>
  <c r="D31" i="18"/>
  <c r="O30" i="21"/>
  <c r="Q30" i="21" s="1"/>
  <c r="O30" i="19"/>
  <c r="Q30" i="19" s="1"/>
  <c r="O30" i="18"/>
  <c r="Q30" i="18" s="1"/>
  <c r="O30" i="4"/>
  <c r="Q30" i="4" s="1"/>
  <c r="O30" i="20"/>
  <c r="Q30" i="20" s="1"/>
  <c r="K30" i="18"/>
  <c r="I31" i="27"/>
  <c r="D31" i="25" s="1"/>
  <c r="X136" i="4"/>
  <c r="J166" i="21"/>
  <c r="D173" i="4"/>
  <c r="P31" i="4"/>
  <c r="N12" i="20"/>
  <c r="K13" i="20"/>
  <c r="N13" i="20" s="1"/>
  <c r="D134" i="19"/>
  <c r="K134" i="19" s="1"/>
  <c r="N134" i="19" s="1"/>
  <c r="F24" i="4"/>
  <c r="J182" i="4"/>
  <c r="K181" i="4"/>
  <c r="J181" i="25"/>
  <c r="G140" i="27"/>
  <c r="X131" i="27"/>
  <c r="Q131" i="27"/>
  <c r="D182" i="18"/>
  <c r="K182" i="18" s="1"/>
  <c r="N182" i="18" s="1"/>
  <c r="J164" i="19"/>
  <c r="K164" i="19" s="1"/>
  <c r="N164" i="19" s="1"/>
  <c r="K163" i="19"/>
  <c r="N163" i="19" s="1"/>
  <c r="N172" i="4"/>
  <c r="K172" i="4"/>
  <c r="J149" i="19"/>
  <c r="J149" i="25" s="1"/>
  <c r="J148" i="25"/>
  <c r="AD129" i="4"/>
  <c r="K176" i="18"/>
  <c r="N176" i="18" s="1"/>
  <c r="Q141" i="27"/>
  <c r="G170" i="27"/>
  <c r="X141" i="27"/>
  <c r="X131" i="4"/>
  <c r="J151" i="21"/>
  <c r="H66" i="21"/>
  <c r="E66" i="21"/>
  <c r="G66" i="21"/>
  <c r="F66" i="21"/>
  <c r="I66" i="21"/>
  <c r="M66" i="21"/>
  <c r="L66" i="21"/>
  <c r="D155" i="19"/>
  <c r="K155" i="19" s="1"/>
  <c r="N155" i="19" s="1"/>
  <c r="I159" i="27"/>
  <c r="D155" i="25" s="1"/>
  <c r="N81" i="20"/>
  <c r="N81" i="25" s="1"/>
  <c r="K81" i="25"/>
  <c r="D166" i="19"/>
  <c r="K166" i="19" s="1"/>
  <c r="N166" i="19" s="1"/>
  <c r="F171" i="27"/>
  <c r="D167" i="19" s="1"/>
  <c r="K167" i="19" s="1"/>
  <c r="N167" i="19" s="1"/>
  <c r="L23" i="25"/>
  <c r="J23" i="19"/>
  <c r="K23" i="19" s="1"/>
  <c r="N23" i="19" s="1"/>
  <c r="J125" i="18"/>
  <c r="G144" i="27"/>
  <c r="D139" i="20"/>
  <c r="K139" i="20" s="1"/>
  <c r="N139" i="20" s="1"/>
  <c r="J152" i="20"/>
  <c r="K152" i="20" s="1"/>
  <c r="N152" i="20" s="1"/>
  <c r="K151" i="20"/>
  <c r="N151" i="20" s="1"/>
  <c r="R127" i="27"/>
  <c r="H128" i="27"/>
  <c r="D128" i="18"/>
  <c r="K128" i="18" s="1"/>
  <c r="N128" i="18" s="1"/>
  <c r="I132" i="27"/>
  <c r="D128" i="25" s="1"/>
  <c r="F25" i="4"/>
  <c r="K160" i="21"/>
  <c r="N160" i="21" s="1"/>
  <c r="J161" i="21"/>
  <c r="AD128" i="4"/>
  <c r="L73" i="4"/>
  <c r="L71" i="25"/>
  <c r="J71" i="19"/>
  <c r="K71" i="19" s="1"/>
  <c r="N71" i="19" s="1"/>
  <c r="N151" i="25"/>
  <c r="N116" i="25"/>
  <c r="H143" i="27"/>
  <c r="R132" i="27"/>
  <c r="K164" i="4"/>
  <c r="J151" i="25"/>
  <c r="K151" i="25" s="1"/>
  <c r="J154" i="25"/>
  <c r="K154" i="25" s="1"/>
  <c r="K154" i="21"/>
  <c r="N154" i="21" s="1"/>
  <c r="J155" i="21"/>
  <c r="G150" i="27"/>
  <c r="I149" i="27"/>
  <c r="D145" i="25" s="1"/>
  <c r="D145" i="20"/>
  <c r="K145" i="20" s="1"/>
  <c r="N145" i="20" s="1"/>
  <c r="V129" i="4"/>
  <c r="AC126" i="4"/>
  <c r="J145" i="19"/>
  <c r="K152" i="18"/>
  <c r="N152" i="18" s="1"/>
  <c r="P135" i="27"/>
  <c r="F152" i="27"/>
  <c r="W135" i="27"/>
  <c r="D82" i="18"/>
  <c r="K82" i="18" s="1"/>
  <c r="N82" i="18" s="1"/>
  <c r="H52" i="25"/>
  <c r="J52" i="20"/>
  <c r="F146" i="27"/>
  <c r="P133" i="27"/>
  <c r="K129" i="25" s="1"/>
  <c r="N51" i="18"/>
  <c r="D170" i="18"/>
  <c r="K170" i="18" s="1"/>
  <c r="N170" i="18" s="1"/>
  <c r="X78" i="19"/>
  <c r="A88" i="20"/>
  <c r="U78" i="19"/>
  <c r="T78" i="19"/>
  <c r="V78" i="19"/>
  <c r="W78" i="19"/>
  <c r="Y78" i="19"/>
  <c r="Z78" i="19"/>
  <c r="N164" i="25"/>
  <c r="J146" i="18"/>
  <c r="E129" i="27"/>
  <c r="D124" i="18"/>
  <c r="K124" i="18" s="1"/>
  <c r="N124" i="18" s="1"/>
  <c r="J128" i="20"/>
  <c r="J127" i="25"/>
  <c r="K127" i="25" s="1"/>
  <c r="W146" i="27"/>
  <c r="X146" i="27" s="1"/>
  <c r="F185" i="27"/>
  <c r="P146" i="27"/>
  <c r="W133" i="27"/>
  <c r="X133" i="27" s="1"/>
  <c r="X125" i="4"/>
  <c r="J133" i="21"/>
  <c r="J133" i="25" s="1"/>
  <c r="K133" i="19"/>
  <c r="N133" i="19" s="1"/>
  <c r="E147" i="27"/>
  <c r="D142" i="18"/>
  <c r="K142" i="18" s="1"/>
  <c r="N142" i="18" s="1"/>
  <c r="K79" i="4"/>
  <c r="N31" i="4"/>
  <c r="K31" i="19"/>
  <c r="N31" i="19" s="1"/>
  <c r="J79" i="19"/>
  <c r="J31" i="25"/>
  <c r="J13" i="18"/>
  <c r="E13" i="25"/>
  <c r="E71" i="18"/>
  <c r="E23" i="18"/>
  <c r="D148" i="18"/>
  <c r="K148" i="18" s="1"/>
  <c r="N148" i="18" s="1"/>
  <c r="E153" i="27"/>
  <c r="V77" i="21"/>
  <c r="Z77" i="21"/>
  <c r="T77" i="21"/>
  <c r="Y77" i="21"/>
  <c r="W77" i="21"/>
  <c r="U77" i="21"/>
  <c r="X77" i="21"/>
  <c r="Z73" i="20"/>
  <c r="X73" i="20"/>
  <c r="A9" i="21"/>
  <c r="U73" i="20"/>
  <c r="V73" i="20"/>
  <c r="W73" i="20"/>
  <c r="Y73" i="20"/>
  <c r="T73" i="20"/>
  <c r="N120" i="18"/>
  <c r="F165" i="27"/>
  <c r="D160" i="19"/>
  <c r="K160" i="19" s="1"/>
  <c r="N160" i="19" s="1"/>
  <c r="I164" i="27"/>
  <c r="D160" i="25" s="1"/>
  <c r="V122" i="4"/>
  <c r="V142" i="4" s="1"/>
  <c r="J82" i="19" s="1"/>
  <c r="AB142" i="4"/>
  <c r="J124" i="19"/>
  <c r="J125" i="19" s="1"/>
  <c r="AD122" i="4"/>
  <c r="N183" i="25"/>
  <c r="K183" i="25"/>
  <c r="F69" i="18"/>
  <c r="G69" i="18"/>
  <c r="I69" i="18"/>
  <c r="J69" i="18" s="1"/>
  <c r="E69" i="18"/>
  <c r="H69" i="18"/>
  <c r="G70" i="27"/>
  <c r="D69" i="19"/>
  <c r="I73" i="4" l="1"/>
  <c r="I24" i="4" s="1"/>
  <c r="I74" i="4"/>
  <c r="I25" i="4" s="1"/>
  <c r="O12" i="18"/>
  <c r="O12" i="19"/>
  <c r="Q12" i="19" s="1"/>
  <c r="H72" i="18"/>
  <c r="G72" i="18"/>
  <c r="F72" i="18"/>
  <c r="F74" i="18" s="1"/>
  <c r="F25" i="18" s="1"/>
  <c r="L72" i="18"/>
  <c r="I72" i="18"/>
  <c r="K102" i="25"/>
  <c r="J72" i="4"/>
  <c r="K72" i="4" s="1"/>
  <c r="K120" i="25"/>
  <c r="D73" i="19"/>
  <c r="F78" i="27"/>
  <c r="D75" i="19" s="1"/>
  <c r="F24" i="27"/>
  <c r="D74" i="19"/>
  <c r="F25" i="27"/>
  <c r="D25" i="19" s="1"/>
  <c r="F75" i="4"/>
  <c r="I26" i="4"/>
  <c r="I53" i="4" s="1"/>
  <c r="E74" i="18"/>
  <c r="J72" i="18"/>
  <c r="K72" i="18" s="1"/>
  <c r="I74" i="18"/>
  <c r="I73" i="18"/>
  <c r="I75" i="18" s="1"/>
  <c r="G74" i="18"/>
  <c r="G25" i="18" s="1"/>
  <c r="G73" i="18"/>
  <c r="G75" i="18" s="1"/>
  <c r="L74" i="18"/>
  <c r="L25" i="18" s="1"/>
  <c r="L73" i="18"/>
  <c r="L24" i="18" s="1"/>
  <c r="H74" i="18"/>
  <c r="J74" i="18" s="1"/>
  <c r="H73" i="18"/>
  <c r="H24" i="18" s="1"/>
  <c r="K48" i="21"/>
  <c r="N48" i="21" s="1"/>
  <c r="O48" i="18"/>
  <c r="Q48" i="18" s="1"/>
  <c r="O48" i="21"/>
  <c r="Q48" i="21" s="1"/>
  <c r="D178" i="19"/>
  <c r="K178" i="19" s="1"/>
  <c r="N178" i="19" s="1"/>
  <c r="F183" i="27"/>
  <c r="D179" i="19" s="1"/>
  <c r="K179" i="19" s="1"/>
  <c r="N179" i="19" s="1"/>
  <c r="D71" i="21"/>
  <c r="K71" i="21" s="1"/>
  <c r="N71" i="21" s="1"/>
  <c r="K12" i="4"/>
  <c r="N88" i="25"/>
  <c r="N102" i="21"/>
  <c r="G183" i="27"/>
  <c r="D179" i="20" s="1"/>
  <c r="K179" i="20" s="1"/>
  <c r="N179" i="20" s="1"/>
  <c r="D178" i="20"/>
  <c r="K178" i="20" s="1"/>
  <c r="N178" i="20" s="1"/>
  <c r="D169" i="19"/>
  <c r="K169" i="19" s="1"/>
  <c r="N169" i="19" s="1"/>
  <c r="F174" i="27"/>
  <c r="O12" i="20"/>
  <c r="Q12" i="20" s="1"/>
  <c r="O12" i="4"/>
  <c r="Q12" i="4" s="1"/>
  <c r="O12" i="21"/>
  <c r="Q12" i="21" s="1"/>
  <c r="N12" i="19"/>
  <c r="K13" i="19"/>
  <c r="N13" i="19" s="1"/>
  <c r="O48" i="20"/>
  <c r="Q48" i="20" s="1"/>
  <c r="W81" i="19"/>
  <c r="Y81" i="19"/>
  <c r="T81" i="19"/>
  <c r="X81" i="19"/>
  <c r="V81" i="19"/>
  <c r="A91" i="20"/>
  <c r="Z81" i="19"/>
  <c r="U81" i="19"/>
  <c r="K131" i="4"/>
  <c r="N131" i="4"/>
  <c r="E25" i="27"/>
  <c r="D74" i="18"/>
  <c r="I77" i="27"/>
  <c r="D74" i="25" s="1"/>
  <c r="Q129" i="27"/>
  <c r="G134" i="27"/>
  <c r="D172" i="20"/>
  <c r="G177" i="27"/>
  <c r="I176" i="27"/>
  <c r="D172" i="25" s="1"/>
  <c r="N172" i="25" s="1"/>
  <c r="K51" i="4"/>
  <c r="J51" i="25"/>
  <c r="P51" i="20"/>
  <c r="P51" i="19"/>
  <c r="P51" i="4"/>
  <c r="P51" i="21"/>
  <c r="P51" i="18"/>
  <c r="J172" i="20"/>
  <c r="J173" i="20" s="1"/>
  <c r="W138" i="4"/>
  <c r="Q12" i="18"/>
  <c r="N36" i="4"/>
  <c r="N36" i="25" s="1"/>
  <c r="K36" i="25"/>
  <c r="F73" i="18"/>
  <c r="F75" i="18" s="1"/>
  <c r="Z74" i="20"/>
  <c r="Y74" i="20"/>
  <c r="U74" i="20"/>
  <c r="W74" i="20"/>
  <c r="A10" i="21"/>
  <c r="T74" i="20"/>
  <c r="V74" i="20"/>
  <c r="X74" i="20"/>
  <c r="I52" i="25"/>
  <c r="H161" i="27"/>
  <c r="R138" i="27"/>
  <c r="Y90" i="19"/>
  <c r="T90" i="19"/>
  <c r="A100" i="20"/>
  <c r="X90" i="19"/>
  <c r="Z90" i="19"/>
  <c r="W90" i="19"/>
  <c r="V90" i="19"/>
  <c r="U90" i="19"/>
  <c r="U72" i="19"/>
  <c r="A8" i="20"/>
  <c r="Z72" i="19"/>
  <c r="T72" i="19"/>
  <c r="V72" i="19"/>
  <c r="W72" i="19"/>
  <c r="Y72" i="19"/>
  <c r="X72" i="19"/>
  <c r="D172" i="21"/>
  <c r="H177" i="27"/>
  <c r="D173" i="21" s="1"/>
  <c r="I75" i="4"/>
  <c r="D23" i="27"/>
  <c r="I13" i="27"/>
  <c r="D13" i="25" s="1"/>
  <c r="D74" i="27"/>
  <c r="D74" i="21"/>
  <c r="H25" i="27"/>
  <c r="D25" i="21" s="1"/>
  <c r="X142" i="27"/>
  <c r="Q142" i="27"/>
  <c r="G173" i="27"/>
  <c r="J52" i="18"/>
  <c r="K52" i="18" s="1"/>
  <c r="N52" i="18" s="1"/>
  <c r="F134" i="27"/>
  <c r="P129" i="27"/>
  <c r="D178" i="21"/>
  <c r="K178" i="21" s="1"/>
  <c r="N178" i="21" s="1"/>
  <c r="H183" i="27"/>
  <c r="D179" i="21" s="1"/>
  <c r="K179" i="21" s="1"/>
  <c r="N179" i="21" s="1"/>
  <c r="AD138" i="4"/>
  <c r="X129" i="27"/>
  <c r="E73" i="4"/>
  <c r="I183" i="27"/>
  <c r="D179" i="25" s="1"/>
  <c r="G138" i="27"/>
  <c r="D133" i="20"/>
  <c r="K133" i="20" s="1"/>
  <c r="N133" i="20" s="1"/>
  <c r="O48" i="4"/>
  <c r="Q48" i="4" s="1"/>
  <c r="I182" i="27"/>
  <c r="D178" i="25" s="1"/>
  <c r="K80" i="4"/>
  <c r="N80" i="4" s="1"/>
  <c r="N42" i="4"/>
  <c r="J173" i="19"/>
  <c r="K173" i="19" s="1"/>
  <c r="N173" i="19" s="1"/>
  <c r="N179" i="4"/>
  <c r="K179" i="4"/>
  <c r="H137" i="27"/>
  <c r="I137" i="27" s="1"/>
  <c r="D133" i="25" s="1"/>
  <c r="N133" i="25" s="1"/>
  <c r="R130" i="27"/>
  <c r="D157" i="20"/>
  <c r="K157" i="20" s="1"/>
  <c r="N157" i="20" s="1"/>
  <c r="G162" i="27"/>
  <c r="D158" i="20" s="1"/>
  <c r="K158" i="20" s="1"/>
  <c r="N158" i="20" s="1"/>
  <c r="P31" i="20"/>
  <c r="G25" i="27"/>
  <c r="D25" i="20" s="1"/>
  <c r="D74" i="20"/>
  <c r="N102" i="19"/>
  <c r="N102" i="25" s="1"/>
  <c r="N86" i="25"/>
  <c r="K51" i="19"/>
  <c r="N51" i="19" s="1"/>
  <c r="O51" i="4"/>
  <c r="O51" i="19"/>
  <c r="Q51" i="19" s="1"/>
  <c r="O51" i="18"/>
  <c r="Q51" i="18" s="1"/>
  <c r="O51" i="20"/>
  <c r="Q51" i="20" s="1"/>
  <c r="O51" i="21"/>
  <c r="G71" i="25"/>
  <c r="G73" i="4"/>
  <c r="N120" i="4"/>
  <c r="N42" i="25"/>
  <c r="T79" i="19"/>
  <c r="U79" i="19"/>
  <c r="F72" i="19" s="1"/>
  <c r="W79" i="19"/>
  <c r="X79" i="19"/>
  <c r="Y79" i="19"/>
  <c r="Z79" i="19"/>
  <c r="V79" i="19"/>
  <c r="A89" i="20"/>
  <c r="N12" i="21"/>
  <c r="K13" i="21"/>
  <c r="N13" i="21" s="1"/>
  <c r="H71" i="4"/>
  <c r="J71" i="4" s="1"/>
  <c r="H23" i="4"/>
  <c r="H23" i="25" s="1"/>
  <c r="H13" i="25"/>
  <c r="V91" i="21"/>
  <c r="W91" i="21"/>
  <c r="T91" i="21"/>
  <c r="X91" i="21"/>
  <c r="Y91" i="21"/>
  <c r="Z91" i="21"/>
  <c r="U91" i="21"/>
  <c r="O48" i="19"/>
  <c r="Q48" i="19" s="1"/>
  <c r="M72" i="18"/>
  <c r="Q42" i="18"/>
  <c r="N48" i="25"/>
  <c r="K133" i="25"/>
  <c r="D13" i="18"/>
  <c r="E74" i="27"/>
  <c r="E23" i="27"/>
  <c r="D23" i="18" s="1"/>
  <c r="G23" i="25"/>
  <c r="J23" i="4"/>
  <c r="AC142" i="4"/>
  <c r="F144" i="27"/>
  <c r="D140" i="19" s="1"/>
  <c r="K140" i="19" s="1"/>
  <c r="N140" i="19" s="1"/>
  <c r="D139" i="19"/>
  <c r="K139" i="19" s="1"/>
  <c r="N139" i="19" s="1"/>
  <c r="E74" i="4"/>
  <c r="D52" i="19"/>
  <c r="D130" i="18"/>
  <c r="K130" i="18" s="1"/>
  <c r="N130" i="18" s="1"/>
  <c r="E135" i="27"/>
  <c r="N130" i="4"/>
  <c r="K130" i="4"/>
  <c r="K48" i="25"/>
  <c r="M25" i="4"/>
  <c r="M26" i="4" s="1"/>
  <c r="M53" i="4" s="1"/>
  <c r="M75" i="4"/>
  <c r="D73" i="20"/>
  <c r="G24" i="27"/>
  <c r="G78" i="27"/>
  <c r="D75" i="20" s="1"/>
  <c r="M66" i="20"/>
  <c r="L66" i="20"/>
  <c r="G66" i="20"/>
  <c r="I66" i="20"/>
  <c r="F66" i="20"/>
  <c r="E66" i="20"/>
  <c r="H66" i="20"/>
  <c r="R146" i="27"/>
  <c r="H185" i="27"/>
  <c r="J164" i="21"/>
  <c r="K163" i="21"/>
  <c r="N163" i="21" s="1"/>
  <c r="X122" i="4"/>
  <c r="J124" i="21"/>
  <c r="J125" i="21" s="1"/>
  <c r="E73" i="18"/>
  <c r="J71" i="18"/>
  <c r="J71" i="25" s="1"/>
  <c r="E71" i="25"/>
  <c r="H146" i="27"/>
  <c r="R133" i="27"/>
  <c r="D146" i="20"/>
  <c r="K146" i="20" s="1"/>
  <c r="N146" i="20" s="1"/>
  <c r="N12" i="4"/>
  <c r="K12" i="25"/>
  <c r="K13" i="4"/>
  <c r="F26" i="4"/>
  <c r="K146" i="18"/>
  <c r="N146" i="18" s="1"/>
  <c r="K155" i="21"/>
  <c r="N155" i="21" s="1"/>
  <c r="J155" i="25"/>
  <c r="P13" i="21"/>
  <c r="P13" i="4"/>
  <c r="P13" i="18"/>
  <c r="P13" i="19"/>
  <c r="J13" i="25"/>
  <c r="P13" i="20"/>
  <c r="J163" i="25"/>
  <c r="K163" i="25" s="1"/>
  <c r="Q133" i="27"/>
  <c r="G146" i="27"/>
  <c r="N155" i="25"/>
  <c r="K155" i="25"/>
  <c r="O31" i="18"/>
  <c r="Q31" i="18" s="1"/>
  <c r="O31" i="19"/>
  <c r="Q31" i="19" s="1"/>
  <c r="K31" i="18"/>
  <c r="O31" i="4"/>
  <c r="Q31" i="4" s="1"/>
  <c r="O31" i="21"/>
  <c r="Q31" i="21" s="1"/>
  <c r="O31" i="20"/>
  <c r="Q31" i="20" s="1"/>
  <c r="N31" i="20"/>
  <c r="K79" i="20"/>
  <c r="N79" i="20" s="1"/>
  <c r="D142" i="19"/>
  <c r="K142" i="19" s="1"/>
  <c r="N142" i="19" s="1"/>
  <c r="F147" i="27"/>
  <c r="D143" i="19" s="1"/>
  <c r="K143" i="19" s="1"/>
  <c r="N143" i="19" s="1"/>
  <c r="D73" i="21"/>
  <c r="H78" i="27"/>
  <c r="D75" i="21" s="1"/>
  <c r="H24" i="27"/>
  <c r="H170" i="27"/>
  <c r="R141" i="27"/>
  <c r="D79" i="18"/>
  <c r="I82" i="27"/>
  <c r="D79" i="25" s="1"/>
  <c r="J23" i="18"/>
  <c r="E23" i="25"/>
  <c r="K134" i="4"/>
  <c r="N160" i="25"/>
  <c r="K160" i="25"/>
  <c r="I25" i="18"/>
  <c r="E25" i="18"/>
  <c r="L24" i="4"/>
  <c r="L75" i="4"/>
  <c r="N72" i="4"/>
  <c r="G171" i="27"/>
  <c r="D167" i="20" s="1"/>
  <c r="K167" i="20" s="1"/>
  <c r="N167" i="20" s="1"/>
  <c r="D166" i="20"/>
  <c r="K166" i="20" s="1"/>
  <c r="N166" i="20" s="1"/>
  <c r="N80" i="18"/>
  <c r="N80" i="25" s="1"/>
  <c r="K80" i="25"/>
  <c r="I14" i="35"/>
  <c r="I78" i="4"/>
  <c r="H150" i="27"/>
  <c r="D146" i="21" s="1"/>
  <c r="D145" i="21"/>
  <c r="I24" i="18"/>
  <c r="D161" i="19"/>
  <c r="K161" i="19" s="1"/>
  <c r="N161" i="19" s="1"/>
  <c r="I165" i="27"/>
  <c r="D161" i="25" s="1"/>
  <c r="J142" i="21"/>
  <c r="X128" i="4"/>
  <c r="Z73" i="21"/>
  <c r="W73" i="21"/>
  <c r="X73" i="21"/>
  <c r="U73" i="21"/>
  <c r="Y73" i="21"/>
  <c r="T73" i="21"/>
  <c r="V73" i="21"/>
  <c r="D181" i="19"/>
  <c r="K181" i="19" s="1"/>
  <c r="N181" i="19" s="1"/>
  <c r="F186" i="27"/>
  <c r="K52" i="20"/>
  <c r="N52" i="20" s="1"/>
  <c r="P52" i="20"/>
  <c r="P52" i="18"/>
  <c r="K161" i="21"/>
  <c r="N161" i="21" s="1"/>
  <c r="J161" i="25"/>
  <c r="D140" i="20"/>
  <c r="K140" i="20" s="1"/>
  <c r="N140" i="20" s="1"/>
  <c r="K173" i="4"/>
  <c r="N173" i="4"/>
  <c r="D137" i="19"/>
  <c r="K137" i="19" s="1"/>
  <c r="N137" i="19" s="1"/>
  <c r="N145" i="25"/>
  <c r="K79" i="19"/>
  <c r="N79" i="19" s="1"/>
  <c r="J79" i="25"/>
  <c r="H25" i="18"/>
  <c r="J134" i="21"/>
  <c r="Q146" i="27"/>
  <c r="G185" i="27"/>
  <c r="I185" i="27" s="1"/>
  <c r="D181" i="25" s="1"/>
  <c r="J125" i="25"/>
  <c r="N82" i="4"/>
  <c r="X129" i="4"/>
  <c r="J145" i="21"/>
  <c r="N176" i="25"/>
  <c r="K176" i="25"/>
  <c r="K128" i="20"/>
  <c r="N128" i="20" s="1"/>
  <c r="J128" i="25"/>
  <c r="K128" i="25" s="1"/>
  <c r="W78" i="20"/>
  <c r="U78" i="20"/>
  <c r="X78" i="20"/>
  <c r="A88" i="21"/>
  <c r="V78" i="20"/>
  <c r="Y78" i="20"/>
  <c r="T78" i="20"/>
  <c r="Z78" i="20"/>
  <c r="G141" i="27"/>
  <c r="D137" i="20" s="1"/>
  <c r="D136" i="20"/>
  <c r="N176" i="4"/>
  <c r="K176" i="4"/>
  <c r="D143" i="18"/>
  <c r="K143" i="18" s="1"/>
  <c r="N143" i="18" s="1"/>
  <c r="D124" i="21"/>
  <c r="K124" i="21" s="1"/>
  <c r="N124" i="21" s="1"/>
  <c r="H129" i="27"/>
  <c r="D125" i="21" s="1"/>
  <c r="K125" i="21" s="1"/>
  <c r="N125" i="21" s="1"/>
  <c r="J124" i="25"/>
  <c r="J166" i="25"/>
  <c r="J167" i="21"/>
  <c r="J167" i="25" s="1"/>
  <c r="N79" i="4"/>
  <c r="F24" i="18"/>
  <c r="F26" i="18" s="1"/>
  <c r="F53" i="18" s="1"/>
  <c r="Q135" i="27"/>
  <c r="G152" i="27"/>
  <c r="J146" i="19"/>
  <c r="K146" i="19" s="1"/>
  <c r="N146" i="19" s="1"/>
  <c r="K145" i="19"/>
  <c r="N145" i="19" s="1"/>
  <c r="N128" i="25"/>
  <c r="F129" i="27"/>
  <c r="D125" i="19" s="1"/>
  <c r="K125" i="19" s="1"/>
  <c r="N125" i="19" s="1"/>
  <c r="D124" i="19"/>
  <c r="K124" i="19" s="1"/>
  <c r="N124" i="19" s="1"/>
  <c r="W147" i="27"/>
  <c r="H140" i="27"/>
  <c r="R131" i="27"/>
  <c r="D125" i="18"/>
  <c r="K125" i="18" s="1"/>
  <c r="N125" i="18" s="1"/>
  <c r="D148" i="19"/>
  <c r="K148" i="19" s="1"/>
  <c r="N148" i="19" s="1"/>
  <c r="F153" i="27"/>
  <c r="D149" i="19" s="1"/>
  <c r="K149" i="19" s="1"/>
  <c r="N149" i="19" s="1"/>
  <c r="J136" i="20"/>
  <c r="W126" i="4"/>
  <c r="W142" i="4" s="1"/>
  <c r="J82" i="20" s="1"/>
  <c r="AD126" i="4"/>
  <c r="AD142" i="4" s="1"/>
  <c r="H144" i="27"/>
  <c r="D140" i="21" s="1"/>
  <c r="K140" i="21" s="1"/>
  <c r="N140" i="21" s="1"/>
  <c r="D139" i="21"/>
  <c r="K139" i="21" s="1"/>
  <c r="N139" i="21" s="1"/>
  <c r="I143" i="27"/>
  <c r="D139" i="25" s="1"/>
  <c r="K30" i="25"/>
  <c r="N30" i="18"/>
  <c r="N30" i="25" s="1"/>
  <c r="P147" i="27"/>
  <c r="F85" i="27" s="1"/>
  <c r="K123" i="25"/>
  <c r="G129" i="27"/>
  <c r="D125" i="20" s="1"/>
  <c r="K125" i="20" s="1"/>
  <c r="N125" i="20" s="1"/>
  <c r="D124" i="20"/>
  <c r="K124" i="20" s="1"/>
  <c r="N124" i="20" s="1"/>
  <c r="D149" i="18"/>
  <c r="K149" i="18" s="1"/>
  <c r="N149" i="18" s="1"/>
  <c r="I128" i="27"/>
  <c r="D124" i="25" s="1"/>
  <c r="X135" i="27"/>
  <c r="X147" i="27" s="1"/>
  <c r="N120" i="25"/>
  <c r="K151" i="21"/>
  <c r="N151" i="21" s="1"/>
  <c r="J152" i="21"/>
  <c r="K182" i="4"/>
  <c r="J182" i="25"/>
  <c r="Q147" i="27"/>
  <c r="G85" i="27" s="1"/>
  <c r="D82" i="20" s="1"/>
  <c r="F69" i="19"/>
  <c r="H69" i="19"/>
  <c r="I69" i="19"/>
  <c r="J69" i="19" s="1"/>
  <c r="E69" i="19"/>
  <c r="G69" i="19"/>
  <c r="H70" i="27"/>
  <c r="D69" i="20"/>
  <c r="K136" i="20" l="1"/>
  <c r="N136" i="20" s="1"/>
  <c r="I146" i="27"/>
  <c r="D142" i="25" s="1"/>
  <c r="N179" i="25"/>
  <c r="K179" i="25"/>
  <c r="G72" i="19"/>
  <c r="G74" i="19" s="1"/>
  <c r="E72" i="19"/>
  <c r="K172" i="20"/>
  <c r="N172" i="20" s="1"/>
  <c r="K74" i="18"/>
  <c r="F26" i="27"/>
  <c r="D24" i="19"/>
  <c r="O25" i="27"/>
  <c r="H75" i="18"/>
  <c r="F73" i="19"/>
  <c r="F74" i="19"/>
  <c r="E73" i="19"/>
  <c r="E74" i="19"/>
  <c r="F135" i="27"/>
  <c r="D131" i="19" s="1"/>
  <c r="K131" i="19" s="1"/>
  <c r="N131" i="19" s="1"/>
  <c r="D130" i="19"/>
  <c r="K130" i="19" s="1"/>
  <c r="N130" i="19" s="1"/>
  <c r="L75" i="18"/>
  <c r="O13" i="19"/>
  <c r="Q13" i="19" s="1"/>
  <c r="O13" i="4"/>
  <c r="Q13" i="4" s="1"/>
  <c r="O13" i="18"/>
  <c r="Q13" i="18" s="1"/>
  <c r="O13" i="20"/>
  <c r="Q13" i="20" s="1"/>
  <c r="O13" i="21"/>
  <c r="Q13" i="21" s="1"/>
  <c r="H71" i="25"/>
  <c r="H73" i="4"/>
  <c r="J73" i="4" s="1"/>
  <c r="Q51" i="21"/>
  <c r="D76" i="27"/>
  <c r="D71" i="4"/>
  <c r="K71" i="4" s="1"/>
  <c r="N71" i="4" s="1"/>
  <c r="I74" i="27"/>
  <c r="D71" i="25" s="1"/>
  <c r="H72" i="19"/>
  <c r="D173" i="20"/>
  <c r="K173" i="20" s="1"/>
  <c r="N173" i="20" s="1"/>
  <c r="I177" i="27"/>
  <c r="D173" i="25" s="1"/>
  <c r="D170" i="19"/>
  <c r="K170" i="19" s="1"/>
  <c r="N170" i="19" s="1"/>
  <c r="P52" i="4"/>
  <c r="J74" i="4"/>
  <c r="K74" i="4" s="1"/>
  <c r="E25" i="4"/>
  <c r="J25" i="4" s="1"/>
  <c r="K25" i="4" s="1"/>
  <c r="Y79" i="20"/>
  <c r="T79" i="20"/>
  <c r="Z79" i="20"/>
  <c r="A89" i="21"/>
  <c r="U79" i="20"/>
  <c r="V79" i="20"/>
  <c r="W79" i="20"/>
  <c r="X79" i="20"/>
  <c r="E75" i="4"/>
  <c r="E24" i="4"/>
  <c r="D169" i="20"/>
  <c r="K169" i="20" s="1"/>
  <c r="N169" i="20" s="1"/>
  <c r="G174" i="27"/>
  <c r="D170" i="20" s="1"/>
  <c r="K170" i="20" s="1"/>
  <c r="N170" i="20" s="1"/>
  <c r="M72" i="19"/>
  <c r="T90" i="20"/>
  <c r="Z90" i="20"/>
  <c r="Y90" i="20"/>
  <c r="U90" i="20"/>
  <c r="A100" i="21"/>
  <c r="W90" i="20"/>
  <c r="V90" i="20"/>
  <c r="X90" i="20"/>
  <c r="T81" i="20"/>
  <c r="V81" i="20"/>
  <c r="Y81" i="20"/>
  <c r="W81" i="20"/>
  <c r="U81" i="20"/>
  <c r="X81" i="20"/>
  <c r="A91" i="21"/>
  <c r="Z81" i="20"/>
  <c r="D134" i="20"/>
  <c r="K134" i="20" s="1"/>
  <c r="N134" i="20" s="1"/>
  <c r="G73" i="19"/>
  <c r="G75" i="19" s="1"/>
  <c r="Q51" i="4"/>
  <c r="R129" i="27"/>
  <c r="H134" i="27"/>
  <c r="A8" i="21"/>
  <c r="Z72" i="20"/>
  <c r="T72" i="20"/>
  <c r="E72" i="20" s="1"/>
  <c r="V72" i="20"/>
  <c r="Y72" i="20"/>
  <c r="L72" i="20" s="1"/>
  <c r="L74" i="20" s="1"/>
  <c r="L25" i="20" s="1"/>
  <c r="X72" i="20"/>
  <c r="I72" i="20" s="1"/>
  <c r="W72" i="20"/>
  <c r="U72" i="20"/>
  <c r="Y74" i="21"/>
  <c r="V74" i="21"/>
  <c r="W74" i="21"/>
  <c r="Z74" i="21"/>
  <c r="T74" i="21"/>
  <c r="U74" i="21"/>
  <c r="X74" i="21"/>
  <c r="G135" i="27"/>
  <c r="D131" i="20" s="1"/>
  <c r="K131" i="20" s="1"/>
  <c r="N131" i="20" s="1"/>
  <c r="D130" i="20"/>
  <c r="K130" i="20" s="1"/>
  <c r="N130" i="20" s="1"/>
  <c r="G24" i="18"/>
  <c r="G26" i="18" s="1"/>
  <c r="G53" i="18" s="1"/>
  <c r="G78" i="18" s="1"/>
  <c r="G84" i="18" s="1"/>
  <c r="G54" i="18" s="1"/>
  <c r="G60" i="18" s="1"/>
  <c r="G61" i="18" s="1"/>
  <c r="M74" i="18"/>
  <c r="M25" i="18" s="1"/>
  <c r="M73" i="18"/>
  <c r="N178" i="25"/>
  <c r="K178" i="25"/>
  <c r="J172" i="21"/>
  <c r="X138" i="4"/>
  <c r="H173" i="27"/>
  <c r="R142" i="27"/>
  <c r="K172" i="21"/>
  <c r="N172" i="21" s="1"/>
  <c r="K52" i="19"/>
  <c r="O52" i="20"/>
  <c r="Q52" i="20" s="1"/>
  <c r="O52" i="4"/>
  <c r="O52" i="19"/>
  <c r="O52" i="18"/>
  <c r="Q52" i="18" s="1"/>
  <c r="O52" i="21"/>
  <c r="P52" i="19"/>
  <c r="G72" i="20"/>
  <c r="G73" i="20" s="1"/>
  <c r="J52" i="25"/>
  <c r="N12" i="25"/>
  <c r="G75" i="4"/>
  <c r="G24" i="4"/>
  <c r="G26" i="4" s="1"/>
  <c r="H138" i="27"/>
  <c r="D134" i="21" s="1"/>
  <c r="K134" i="21" s="1"/>
  <c r="N134" i="21" s="1"/>
  <c r="D133" i="21"/>
  <c r="K133" i="21" s="1"/>
  <c r="N133" i="21" s="1"/>
  <c r="I72" i="19"/>
  <c r="N51" i="4"/>
  <c r="N51" i="25" s="1"/>
  <c r="K51" i="25"/>
  <c r="D25" i="18"/>
  <c r="I25" i="27"/>
  <c r="D25" i="25" s="1"/>
  <c r="N72" i="18"/>
  <c r="D23" i="4"/>
  <c r="I23" i="27"/>
  <c r="D23" i="25" s="1"/>
  <c r="P52" i="21"/>
  <c r="Q52" i="21" s="1"/>
  <c r="J134" i="25"/>
  <c r="I150" i="27"/>
  <c r="D146" i="25" s="1"/>
  <c r="D131" i="18"/>
  <c r="K131" i="18" s="1"/>
  <c r="N131" i="18" s="1"/>
  <c r="D71" i="18"/>
  <c r="K71" i="18" s="1"/>
  <c r="E76" i="27"/>
  <c r="L72" i="19"/>
  <c r="H162" i="27"/>
  <c r="D157" i="21"/>
  <c r="K157" i="21" s="1"/>
  <c r="N157" i="21" s="1"/>
  <c r="I161" i="27"/>
  <c r="D157" i="25" s="1"/>
  <c r="I16" i="35"/>
  <c r="M62" i="4"/>
  <c r="M63" i="4" s="1"/>
  <c r="G26" i="27"/>
  <c r="K26" i="27"/>
  <c r="D24" i="20"/>
  <c r="N181" i="25"/>
  <c r="K181" i="25"/>
  <c r="K164" i="21"/>
  <c r="N164" i="21" s="1"/>
  <c r="J164" i="25"/>
  <c r="K164" i="25" s="1"/>
  <c r="N146" i="25"/>
  <c r="J11" i="35"/>
  <c r="F78" i="18"/>
  <c r="F84" i="18" s="1"/>
  <c r="F54" i="18" s="1"/>
  <c r="F60" i="18" s="1"/>
  <c r="F61" i="18" s="1"/>
  <c r="D24" i="21"/>
  <c r="M26" i="27"/>
  <c r="H26" i="27"/>
  <c r="N142" i="25"/>
  <c r="I84" i="4"/>
  <c r="I54" i="4" s="1"/>
  <c r="K82" i="20"/>
  <c r="N82" i="20" s="1"/>
  <c r="N139" i="25"/>
  <c r="K139" i="25"/>
  <c r="H147" i="27"/>
  <c r="D143" i="21" s="1"/>
  <c r="D142" i="21"/>
  <c r="K142" i="21" s="1"/>
  <c r="N142" i="21" s="1"/>
  <c r="I26" i="18"/>
  <c r="D148" i="20"/>
  <c r="K148" i="20" s="1"/>
  <c r="N148" i="20" s="1"/>
  <c r="G153" i="27"/>
  <c r="L73" i="20"/>
  <c r="G24" i="19"/>
  <c r="P23" i="18"/>
  <c r="P23" i="19"/>
  <c r="J23" i="25"/>
  <c r="P23" i="20"/>
  <c r="P23" i="21"/>
  <c r="P23" i="4"/>
  <c r="D181" i="21"/>
  <c r="K181" i="21" s="1"/>
  <c r="N181" i="21" s="1"/>
  <c r="H186" i="27"/>
  <c r="D182" i="21" s="1"/>
  <c r="K182" i="21" s="1"/>
  <c r="N182" i="21" s="1"/>
  <c r="J136" i="21"/>
  <c r="J137" i="21" s="1"/>
  <c r="X126" i="4"/>
  <c r="G25" i="19"/>
  <c r="K23" i="18"/>
  <c r="L26" i="18"/>
  <c r="L53" i="18" s="1"/>
  <c r="D182" i="19"/>
  <c r="K182" i="19" s="1"/>
  <c r="N182" i="19" s="1"/>
  <c r="G53" i="4"/>
  <c r="D142" i="20"/>
  <c r="K142" i="20" s="1"/>
  <c r="N142" i="20" s="1"/>
  <c r="G147" i="27"/>
  <c r="E24" i="18"/>
  <c r="E75" i="18"/>
  <c r="J73" i="18"/>
  <c r="J146" i="21"/>
  <c r="K146" i="21" s="1"/>
  <c r="N146" i="21" s="1"/>
  <c r="J145" i="25"/>
  <c r="K145" i="25" s="1"/>
  <c r="J152" i="25"/>
  <c r="K152" i="25" s="1"/>
  <c r="K152" i="21"/>
  <c r="N152" i="21" s="1"/>
  <c r="J137" i="20"/>
  <c r="K137" i="20" s="1"/>
  <c r="N137" i="20" s="1"/>
  <c r="J136" i="25"/>
  <c r="J143" i="21"/>
  <c r="J143" i="25" s="1"/>
  <c r="J142" i="25"/>
  <c r="K142" i="25" s="1"/>
  <c r="H141" i="27"/>
  <c r="D137" i="21" s="1"/>
  <c r="K137" i="21" s="1"/>
  <c r="N137" i="21" s="1"/>
  <c r="D136" i="21"/>
  <c r="I140" i="27"/>
  <c r="D136" i="25" s="1"/>
  <c r="H26" i="18"/>
  <c r="H53" i="18" s="1"/>
  <c r="J25" i="18"/>
  <c r="E25" i="19"/>
  <c r="L26" i="4"/>
  <c r="N74" i="4"/>
  <c r="N161" i="25"/>
  <c r="K161" i="25"/>
  <c r="K145" i="21"/>
  <c r="N145" i="21" s="1"/>
  <c r="X142" i="4"/>
  <c r="J82" i="21" s="1"/>
  <c r="J82" i="25" s="1"/>
  <c r="N71" i="18"/>
  <c r="N71" i="25" s="1"/>
  <c r="K71" i="25"/>
  <c r="G186" i="27"/>
  <c r="D181" i="20"/>
  <c r="K181" i="20" s="1"/>
  <c r="N181" i="20" s="1"/>
  <c r="E24" i="19"/>
  <c r="E75" i="19"/>
  <c r="H152" i="27"/>
  <c r="R135" i="27"/>
  <c r="F25" i="19"/>
  <c r="I144" i="27"/>
  <c r="D140" i="25" s="1"/>
  <c r="D166" i="21"/>
  <c r="K166" i="21" s="1"/>
  <c r="N166" i="21" s="1"/>
  <c r="H171" i="27"/>
  <c r="I170" i="27"/>
  <c r="D166" i="25" s="1"/>
  <c r="K79" i="18"/>
  <c r="N31" i="18"/>
  <c r="N31" i="25" s="1"/>
  <c r="K31" i="25"/>
  <c r="F53" i="4"/>
  <c r="E73" i="20"/>
  <c r="E74" i="20"/>
  <c r="K124" i="25"/>
  <c r="N124" i="25"/>
  <c r="D82" i="19"/>
  <c r="K82" i="19" s="1"/>
  <c r="I129" i="27"/>
  <c r="D125" i="25" s="1"/>
  <c r="V78" i="21"/>
  <c r="U78" i="21"/>
  <c r="T78" i="21"/>
  <c r="W78" i="21"/>
  <c r="Z78" i="21"/>
  <c r="Y78" i="21"/>
  <c r="X78" i="21"/>
  <c r="F75" i="19"/>
  <c r="F24" i="19"/>
  <c r="K13" i="25"/>
  <c r="N13" i="4"/>
  <c r="N13" i="25" s="1"/>
  <c r="E69" i="20"/>
  <c r="H69" i="20"/>
  <c r="F69" i="20"/>
  <c r="I69" i="20"/>
  <c r="J69" i="20" s="1"/>
  <c r="G69" i="20"/>
  <c r="D69" i="21"/>
  <c r="D182" i="20" l="1"/>
  <c r="K182" i="20" s="1"/>
  <c r="N182" i="20" s="1"/>
  <c r="I186" i="27"/>
  <c r="D182" i="25" s="1"/>
  <c r="Q52" i="19"/>
  <c r="F72" i="20"/>
  <c r="M72" i="20"/>
  <c r="Q52" i="4"/>
  <c r="D26" i="19"/>
  <c r="F53" i="27"/>
  <c r="K25" i="18"/>
  <c r="J12" i="35"/>
  <c r="N25" i="18"/>
  <c r="F74" i="20"/>
  <c r="F25" i="20" s="1"/>
  <c r="F73" i="20"/>
  <c r="F75" i="20" s="1"/>
  <c r="M74" i="20"/>
  <c r="M25" i="20" s="1"/>
  <c r="M73" i="20"/>
  <c r="I73" i="20"/>
  <c r="I24" i="20" s="1"/>
  <c r="I74" i="20"/>
  <c r="I25" i="20" s="1"/>
  <c r="I74" i="19"/>
  <c r="I25" i="19" s="1"/>
  <c r="I73" i="19"/>
  <c r="R147" i="27"/>
  <c r="H85" i="27" s="1"/>
  <c r="G74" i="20"/>
  <c r="G25" i="20" s="1"/>
  <c r="H72" i="20"/>
  <c r="D130" i="21"/>
  <c r="K130" i="21" s="1"/>
  <c r="N130" i="21" s="1"/>
  <c r="H135" i="27"/>
  <c r="D131" i="21" s="1"/>
  <c r="K131" i="21" s="1"/>
  <c r="N131" i="21" s="1"/>
  <c r="N74" i="18"/>
  <c r="N173" i="25"/>
  <c r="D158" i="21"/>
  <c r="K158" i="21" s="1"/>
  <c r="N158" i="21" s="1"/>
  <c r="I162" i="27"/>
  <c r="D158" i="25" s="1"/>
  <c r="E26" i="4"/>
  <c r="J137" i="25"/>
  <c r="D73" i="18"/>
  <c r="E24" i="27"/>
  <c r="E78" i="27"/>
  <c r="D75" i="18" s="1"/>
  <c r="K23" i="4"/>
  <c r="N23" i="4" s="1"/>
  <c r="O23" i="19"/>
  <c r="Q23" i="19" s="1"/>
  <c r="O23" i="20"/>
  <c r="Q23" i="20" s="1"/>
  <c r="O23" i="4"/>
  <c r="O23" i="21"/>
  <c r="Q23" i="21" s="1"/>
  <c r="O23" i="18"/>
  <c r="Q23" i="18" s="1"/>
  <c r="Q23" i="4"/>
  <c r="I138" i="27"/>
  <c r="D134" i="25" s="1"/>
  <c r="Y79" i="21"/>
  <c r="Z79" i="21"/>
  <c r="V79" i="21"/>
  <c r="U79" i="21"/>
  <c r="T79" i="21"/>
  <c r="X79" i="21"/>
  <c r="W79" i="21"/>
  <c r="H73" i="19"/>
  <c r="H74" i="19"/>
  <c r="I135" i="27"/>
  <c r="D131" i="25" s="1"/>
  <c r="H174" i="27"/>
  <c r="D170" i="21" s="1"/>
  <c r="K170" i="21" s="1"/>
  <c r="N170" i="21" s="1"/>
  <c r="D169" i="21"/>
  <c r="K169" i="21" s="1"/>
  <c r="N169" i="21" s="1"/>
  <c r="D73" i="4"/>
  <c r="K73" i="4" s="1"/>
  <c r="N73" i="4" s="1"/>
  <c r="D78" i="27"/>
  <c r="D24" i="27"/>
  <c r="I76" i="27"/>
  <c r="D73" i="25" s="1"/>
  <c r="J72" i="19"/>
  <c r="K72" i="19" s="1"/>
  <c r="N72" i="19" s="1"/>
  <c r="X90" i="21"/>
  <c r="V90" i="21"/>
  <c r="T90" i="21"/>
  <c r="Z90" i="21"/>
  <c r="W90" i="21"/>
  <c r="U90" i="21"/>
  <c r="Y90" i="21"/>
  <c r="V72" i="21"/>
  <c r="Y72" i="21"/>
  <c r="T72" i="21"/>
  <c r="W72" i="21"/>
  <c r="U72" i="21"/>
  <c r="Z72" i="21"/>
  <c r="X72" i="21"/>
  <c r="M74" i="19"/>
  <c r="M25" i="19" s="1"/>
  <c r="M73" i="19"/>
  <c r="I174" i="27"/>
  <c r="D170" i="25" s="1"/>
  <c r="N52" i="19"/>
  <c r="N52" i="25" s="1"/>
  <c r="K52" i="25"/>
  <c r="L74" i="19"/>
  <c r="L25" i="19" s="1"/>
  <c r="L73" i="19"/>
  <c r="M75" i="18"/>
  <c r="M24" i="18"/>
  <c r="M26" i="18" s="1"/>
  <c r="K136" i="21"/>
  <c r="N136" i="21" s="1"/>
  <c r="K157" i="25"/>
  <c r="N157" i="25"/>
  <c r="O25" i="21"/>
  <c r="O25" i="19"/>
  <c r="O25" i="18"/>
  <c r="O25" i="4"/>
  <c r="O25" i="20"/>
  <c r="I134" i="27"/>
  <c r="D130" i="25" s="1"/>
  <c r="J173" i="21"/>
  <c r="J172" i="25"/>
  <c r="K172" i="25" s="1"/>
  <c r="U81" i="21"/>
  <c r="V81" i="21"/>
  <c r="T81" i="21"/>
  <c r="Z81" i="21"/>
  <c r="X81" i="21"/>
  <c r="Y81" i="21"/>
  <c r="L72" i="21" s="1"/>
  <c r="L72" i="25" s="1"/>
  <c r="W81" i="21"/>
  <c r="I173" i="27"/>
  <c r="D169" i="25" s="1"/>
  <c r="H24" i="4"/>
  <c r="H26" i="4" s="1"/>
  <c r="H53" i="4" s="1"/>
  <c r="H78" i="4" s="1"/>
  <c r="H75" i="4"/>
  <c r="J75" i="4" s="1"/>
  <c r="F62" i="18"/>
  <c r="F63" i="18" s="1"/>
  <c r="G26" i="19"/>
  <c r="G53" i="19" s="1"/>
  <c r="K12" i="35" s="1"/>
  <c r="G62" i="18"/>
  <c r="G63" i="18" s="1"/>
  <c r="D26" i="20"/>
  <c r="G53" i="27"/>
  <c r="D82" i="21"/>
  <c r="K82" i="21" s="1"/>
  <c r="N82" i="21" s="1"/>
  <c r="I85" i="27"/>
  <c r="D82" i="25" s="1"/>
  <c r="L74" i="21"/>
  <c r="L73" i="21"/>
  <c r="L73" i="25" s="1"/>
  <c r="G24" i="20"/>
  <c r="F26" i="19"/>
  <c r="N182" i="25"/>
  <c r="K182" i="25"/>
  <c r="J15" i="35"/>
  <c r="L78" i="18"/>
  <c r="L84" i="18" s="1"/>
  <c r="L60" i="18" s="1"/>
  <c r="L62" i="18" s="1"/>
  <c r="L63" i="18" s="1"/>
  <c r="D149" i="20"/>
  <c r="K149" i="20" s="1"/>
  <c r="N149" i="20" s="1"/>
  <c r="N25" i="4"/>
  <c r="I61" i="4"/>
  <c r="I60" i="4"/>
  <c r="I62" i="4" s="1"/>
  <c r="L53" i="4"/>
  <c r="I11" i="35"/>
  <c r="F78" i="4"/>
  <c r="E26" i="19"/>
  <c r="E25" i="20"/>
  <c r="K143" i="21"/>
  <c r="N143" i="21" s="1"/>
  <c r="E24" i="20"/>
  <c r="E75" i="20"/>
  <c r="N79" i="18"/>
  <c r="N79" i="25" s="1"/>
  <c r="K79" i="25"/>
  <c r="D26" i="21"/>
  <c r="H53" i="27"/>
  <c r="N166" i="25"/>
  <c r="K166" i="25"/>
  <c r="J75" i="18"/>
  <c r="N23" i="18"/>
  <c r="N23" i="25" s="1"/>
  <c r="K23" i="25"/>
  <c r="K73" i="18"/>
  <c r="M24" i="20"/>
  <c r="M75" i="20"/>
  <c r="I53" i="18"/>
  <c r="H153" i="27"/>
  <c r="D149" i="21" s="1"/>
  <c r="K149" i="21" s="1"/>
  <c r="N149" i="21" s="1"/>
  <c r="D148" i="21"/>
  <c r="K148" i="21" s="1"/>
  <c r="N148" i="21" s="1"/>
  <c r="H78" i="18"/>
  <c r="H84" i="18" s="1"/>
  <c r="H54" i="18" s="1"/>
  <c r="H60" i="18" s="1"/>
  <c r="H61" i="18" s="1"/>
  <c r="J13" i="35"/>
  <c r="J146" i="25"/>
  <c r="K146" i="25" s="1"/>
  <c r="I141" i="27"/>
  <c r="D137" i="25" s="1"/>
  <c r="N140" i="25"/>
  <c r="K140" i="25"/>
  <c r="N82" i="19"/>
  <c r="N82" i="25" s="1"/>
  <c r="K82" i="25"/>
  <c r="D143" i="20"/>
  <c r="K143" i="20" s="1"/>
  <c r="N143" i="20" s="1"/>
  <c r="I147" i="27"/>
  <c r="D143" i="25" s="1"/>
  <c r="L75" i="20"/>
  <c r="L24" i="20"/>
  <c r="L26" i="20" s="1"/>
  <c r="L53" i="20" s="1"/>
  <c r="K125" i="25"/>
  <c r="N125" i="25"/>
  <c r="D167" i="21"/>
  <c r="K167" i="21" s="1"/>
  <c r="N167" i="21" s="1"/>
  <c r="I171" i="27"/>
  <c r="D167" i="25" s="1"/>
  <c r="J24" i="18"/>
  <c r="E26" i="18"/>
  <c r="M53" i="18"/>
  <c r="I152" i="27"/>
  <c r="D148" i="25" s="1"/>
  <c r="N136" i="25"/>
  <c r="K136" i="25"/>
  <c r="G78" i="4"/>
  <c r="I12" i="35"/>
  <c r="E69" i="21"/>
  <c r="F69" i="21"/>
  <c r="I69" i="21"/>
  <c r="J69" i="21" s="1"/>
  <c r="G69" i="21"/>
  <c r="H69" i="21"/>
  <c r="I72" i="21" l="1"/>
  <c r="M72" i="21"/>
  <c r="F72" i="21"/>
  <c r="H72" i="21"/>
  <c r="D53" i="19"/>
  <c r="F81" i="27"/>
  <c r="G26" i="20"/>
  <c r="G75" i="20"/>
  <c r="K75" i="18"/>
  <c r="N75" i="18" s="1"/>
  <c r="F24" i="20"/>
  <c r="F26" i="20" s="1"/>
  <c r="F53" i="20" s="1"/>
  <c r="G78" i="19"/>
  <c r="G84" i="19" s="1"/>
  <c r="G54" i="19" s="1"/>
  <c r="G60" i="19" s="1"/>
  <c r="G62" i="19" s="1"/>
  <c r="G63" i="19" s="1"/>
  <c r="J24" i="4"/>
  <c r="I73" i="21"/>
  <c r="I73" i="25" s="1"/>
  <c r="I74" i="21"/>
  <c r="I25" i="21" s="1"/>
  <c r="I25" i="25" s="1"/>
  <c r="I72" i="25"/>
  <c r="H73" i="21"/>
  <c r="H74" i="21"/>
  <c r="H75" i="21" s="1"/>
  <c r="F74" i="21"/>
  <c r="F25" i="21" s="1"/>
  <c r="F25" i="25" s="1"/>
  <c r="F73" i="21"/>
  <c r="F73" i="25" s="1"/>
  <c r="F72" i="25"/>
  <c r="M74" i="21"/>
  <c r="M25" i="21" s="1"/>
  <c r="M25" i="25" s="1"/>
  <c r="M73" i="21"/>
  <c r="M24" i="21" s="1"/>
  <c r="M72" i="25"/>
  <c r="D26" i="27"/>
  <c r="D24" i="4"/>
  <c r="K25" i="27"/>
  <c r="I24" i="27"/>
  <c r="L24" i="19"/>
  <c r="L26" i="19" s="1"/>
  <c r="L53" i="19" s="1"/>
  <c r="L75" i="19"/>
  <c r="H75" i="19"/>
  <c r="H24" i="19"/>
  <c r="J73" i="19"/>
  <c r="K73" i="19" s="1"/>
  <c r="N73" i="19" s="1"/>
  <c r="K134" i="25"/>
  <c r="N134" i="25"/>
  <c r="D75" i="4"/>
  <c r="K75" i="4" s="1"/>
  <c r="N75" i="4" s="1"/>
  <c r="I78" i="27"/>
  <c r="D75" i="25" s="1"/>
  <c r="H73" i="20"/>
  <c r="H74" i="20"/>
  <c r="I13" i="35"/>
  <c r="N169" i="25"/>
  <c r="K169" i="25"/>
  <c r="N158" i="25"/>
  <c r="K158" i="25"/>
  <c r="K173" i="21"/>
  <c r="N173" i="21" s="1"/>
  <c r="J173" i="25"/>
  <c r="K173" i="25" s="1"/>
  <c r="E72" i="21"/>
  <c r="K130" i="25"/>
  <c r="N130" i="25"/>
  <c r="K170" i="25"/>
  <c r="N170" i="25"/>
  <c r="D24" i="18"/>
  <c r="K24" i="18" s="1"/>
  <c r="N24" i="18" s="1"/>
  <c r="E26" i="27"/>
  <c r="M25" i="27"/>
  <c r="I75" i="19"/>
  <c r="I24" i="19"/>
  <c r="I26" i="19" s="1"/>
  <c r="I53" i="19" s="1"/>
  <c r="M75" i="19"/>
  <c r="M24" i="19"/>
  <c r="M26" i="19" s="1"/>
  <c r="M53" i="19" s="1"/>
  <c r="G72" i="21"/>
  <c r="N131" i="25"/>
  <c r="K131" i="25"/>
  <c r="E53" i="4"/>
  <c r="J26" i="4"/>
  <c r="I75" i="20"/>
  <c r="H72" i="25"/>
  <c r="H25" i="19"/>
  <c r="J25" i="19" s="1"/>
  <c r="K25" i="19" s="1"/>
  <c r="J74" i="19"/>
  <c r="K74" i="19" s="1"/>
  <c r="N74" i="19" s="1"/>
  <c r="J72" i="20"/>
  <c r="H62" i="18"/>
  <c r="H63" i="18" s="1"/>
  <c r="G81" i="27"/>
  <c r="D53" i="20"/>
  <c r="J16" i="35"/>
  <c r="M62" i="18"/>
  <c r="L11" i="35"/>
  <c r="F78" i="20"/>
  <c r="F84" i="20" s="1"/>
  <c r="F54" i="20" s="1"/>
  <c r="F60" i="20" s="1"/>
  <c r="F61" i="20" s="1"/>
  <c r="L75" i="21"/>
  <c r="L75" i="25" s="1"/>
  <c r="L24" i="21"/>
  <c r="N143" i="25"/>
  <c r="K143" i="25"/>
  <c r="L78" i="4"/>
  <c r="L84" i="4" s="1"/>
  <c r="L60" i="4" s="1"/>
  <c r="L62" i="4" s="1"/>
  <c r="I15" i="35"/>
  <c r="L25" i="21"/>
  <c r="L25" i="25" s="1"/>
  <c r="L74" i="25"/>
  <c r="F53" i="19"/>
  <c r="G61" i="19"/>
  <c r="J14" i="35"/>
  <c r="I78" i="18"/>
  <c r="G53" i="20"/>
  <c r="D53" i="21"/>
  <c r="H81" i="27"/>
  <c r="I63" i="4"/>
  <c r="I26" i="20"/>
  <c r="K137" i="25"/>
  <c r="N137" i="25"/>
  <c r="M26" i="20"/>
  <c r="I153" i="27"/>
  <c r="D149" i="25" s="1"/>
  <c r="E26" i="20"/>
  <c r="J26" i="18"/>
  <c r="E53" i="18"/>
  <c r="G84" i="4"/>
  <c r="G54" i="4" s="1"/>
  <c r="K148" i="25"/>
  <c r="N148" i="25"/>
  <c r="H24" i="21"/>
  <c r="F84" i="4"/>
  <c r="F54" i="4" s="1"/>
  <c r="N167" i="25"/>
  <c r="K167" i="25"/>
  <c r="L15" i="35"/>
  <c r="L78" i="20"/>
  <c r="L84" i="20" s="1"/>
  <c r="L60" i="20" s="1"/>
  <c r="L62" i="20" s="1"/>
  <c r="L63" i="20" s="1"/>
  <c r="N73" i="18"/>
  <c r="H84" i="4"/>
  <c r="H54" i="4" s="1"/>
  <c r="H25" i="21"/>
  <c r="H74" i="25"/>
  <c r="F75" i="21"/>
  <c r="F75" i="25" s="1"/>
  <c r="E53" i="19"/>
  <c r="I24" i="21"/>
  <c r="F87" i="27" l="1"/>
  <c r="D78" i="19"/>
  <c r="I74" i="25"/>
  <c r="I75" i="21"/>
  <c r="M74" i="25"/>
  <c r="F74" i="25"/>
  <c r="M26" i="21"/>
  <c r="M53" i="21" s="1"/>
  <c r="M24" i="25"/>
  <c r="M73" i="25"/>
  <c r="M75" i="21"/>
  <c r="M75" i="25" s="1"/>
  <c r="I75" i="25"/>
  <c r="F24" i="21"/>
  <c r="I78" i="19"/>
  <c r="I84" i="19" s="1"/>
  <c r="I54" i="19" s="1"/>
  <c r="K14" i="35"/>
  <c r="K15" i="35"/>
  <c r="L78" i="19"/>
  <c r="L84" i="19" s="1"/>
  <c r="L60" i="19" s="1"/>
  <c r="L62" i="19" s="1"/>
  <c r="L63" i="19" s="1"/>
  <c r="O26" i="27"/>
  <c r="D24" i="25"/>
  <c r="E53" i="27"/>
  <c r="D26" i="18"/>
  <c r="K26" i="18" s="1"/>
  <c r="N26" i="18" s="1"/>
  <c r="K24" i="4"/>
  <c r="N24" i="4" s="1"/>
  <c r="O24" i="4"/>
  <c r="O24" i="19"/>
  <c r="O24" i="21"/>
  <c r="O24" i="18"/>
  <c r="O24" i="20"/>
  <c r="K72" i="20"/>
  <c r="D26" i="4"/>
  <c r="D53" i="27"/>
  <c r="I26" i="27"/>
  <c r="D26" i="25" s="1"/>
  <c r="E78" i="4"/>
  <c r="E84" i="4" s="1"/>
  <c r="E54" i="4" s="1"/>
  <c r="J54" i="4" s="1"/>
  <c r="I10" i="35"/>
  <c r="J53" i="4"/>
  <c r="J78" i="4" s="1"/>
  <c r="J84" i="4" s="1"/>
  <c r="G74" i="21"/>
  <c r="G73" i="21"/>
  <c r="G72" i="25"/>
  <c r="H26" i="19"/>
  <c r="J24" i="19"/>
  <c r="K24" i="19" s="1"/>
  <c r="N24" i="19" s="1"/>
  <c r="K16" i="35"/>
  <c r="M62" i="19"/>
  <c r="M63" i="19" s="1"/>
  <c r="E72" i="25"/>
  <c r="E73" i="21"/>
  <c r="J72" i="21"/>
  <c r="K72" i="21" s="1"/>
  <c r="N72" i="21" s="1"/>
  <c r="E74" i="21"/>
  <c r="H25" i="20"/>
  <c r="J25" i="20" s="1"/>
  <c r="K25" i="20" s="1"/>
  <c r="N25" i="20" s="1"/>
  <c r="J74" i="20"/>
  <c r="K74" i="20" s="1"/>
  <c r="N74" i="20" s="1"/>
  <c r="J75" i="19"/>
  <c r="K75" i="19" s="1"/>
  <c r="N75" i="19" s="1"/>
  <c r="J73" i="20"/>
  <c r="H24" i="20"/>
  <c r="H24" i="25" s="1"/>
  <c r="H75" i="20"/>
  <c r="J75" i="20" s="1"/>
  <c r="K75" i="20" s="1"/>
  <c r="N75" i="20" s="1"/>
  <c r="H73" i="25"/>
  <c r="D78" i="20"/>
  <c r="G87" i="27"/>
  <c r="F78" i="19"/>
  <c r="K11" i="35"/>
  <c r="N25" i="19"/>
  <c r="G60" i="4"/>
  <c r="G62" i="4" s="1"/>
  <c r="G61" i="4"/>
  <c r="I84" i="18"/>
  <c r="I54" i="18" s="1"/>
  <c r="I26" i="21"/>
  <c r="I53" i="21" s="1"/>
  <c r="L26" i="21"/>
  <c r="L24" i="25"/>
  <c r="M63" i="18"/>
  <c r="L63" i="4"/>
  <c r="J10" i="35"/>
  <c r="E78" i="18"/>
  <c r="J53" i="18"/>
  <c r="M53" i="20"/>
  <c r="M26" i="25"/>
  <c r="D78" i="21"/>
  <c r="H87" i="27"/>
  <c r="F26" i="21"/>
  <c r="F24" i="25"/>
  <c r="K10" i="35"/>
  <c r="E78" i="19"/>
  <c r="E84" i="19" s="1"/>
  <c r="E54" i="19" s="1"/>
  <c r="F60" i="4"/>
  <c r="F61" i="4"/>
  <c r="F62" i="20"/>
  <c r="F63" i="20" s="1"/>
  <c r="G78" i="20"/>
  <c r="L12" i="35"/>
  <c r="M16" i="35"/>
  <c r="M62" i="21"/>
  <c r="M63" i="21" s="1"/>
  <c r="H26" i="21"/>
  <c r="E53" i="20"/>
  <c r="I24" i="25"/>
  <c r="H61" i="4"/>
  <c r="H60" i="4"/>
  <c r="H62" i="4" s="1"/>
  <c r="I53" i="20"/>
  <c r="N149" i="25"/>
  <c r="K149" i="25"/>
  <c r="F54" i="27" l="1"/>
  <c r="F63" i="27"/>
  <c r="F56" i="27" s="1"/>
  <c r="F57" i="27" s="1"/>
  <c r="D84" i="19"/>
  <c r="F64" i="27"/>
  <c r="H75" i="25"/>
  <c r="J26" i="19"/>
  <c r="K26" i="19" s="1"/>
  <c r="N26" i="19" s="1"/>
  <c r="H53" i="19"/>
  <c r="E73" i="25"/>
  <c r="E24" i="21"/>
  <c r="J73" i="21"/>
  <c r="K73" i="21" s="1"/>
  <c r="N73" i="21" s="1"/>
  <c r="E75" i="21"/>
  <c r="D81" i="27"/>
  <c r="D53" i="4"/>
  <c r="I53" i="27"/>
  <c r="D53" i="25" s="1"/>
  <c r="E74" i="25"/>
  <c r="E25" i="21"/>
  <c r="J74" i="21"/>
  <c r="H26" i="20"/>
  <c r="H26" i="25" s="1"/>
  <c r="J24" i="20"/>
  <c r="K24" i="20" s="1"/>
  <c r="N24" i="20" s="1"/>
  <c r="G73" i="25"/>
  <c r="G24" i="21"/>
  <c r="G75" i="21"/>
  <c r="G75" i="25" s="1"/>
  <c r="K26" i="4"/>
  <c r="N26" i="4" s="1"/>
  <c r="O26" i="19"/>
  <c r="O26" i="20"/>
  <c r="O26" i="4"/>
  <c r="O26" i="18"/>
  <c r="O26" i="21"/>
  <c r="K73" i="20"/>
  <c r="J73" i="25"/>
  <c r="G25" i="21"/>
  <c r="G25" i="25" s="1"/>
  <c r="G74" i="25"/>
  <c r="N72" i="20"/>
  <c r="N72" i="25" s="1"/>
  <c r="K72" i="25"/>
  <c r="I61" i="19"/>
  <c r="I60" i="19"/>
  <c r="I62" i="19" s="1"/>
  <c r="I63" i="19" s="1"/>
  <c r="J72" i="25"/>
  <c r="E81" i="27"/>
  <c r="D53" i="18"/>
  <c r="K53" i="18"/>
  <c r="K78" i="18" s="1"/>
  <c r="H25" i="25"/>
  <c r="I26" i="25"/>
  <c r="D84" i="20"/>
  <c r="G63" i="27"/>
  <c r="G54" i="27"/>
  <c r="G64" i="27"/>
  <c r="I60" i="18"/>
  <c r="H63" i="4"/>
  <c r="L53" i="21"/>
  <c r="L26" i="25"/>
  <c r="M14" i="35"/>
  <c r="I78" i="21"/>
  <c r="I84" i="21" s="1"/>
  <c r="I54" i="21" s="1"/>
  <c r="I60" i="21" s="1"/>
  <c r="I61" i="21" s="1"/>
  <c r="G63" i="4"/>
  <c r="K54" i="4"/>
  <c r="F53" i="21"/>
  <c r="F26" i="25"/>
  <c r="L14" i="35"/>
  <c r="N14" i="35" s="1"/>
  <c r="I78" i="20"/>
  <c r="I53" i="25"/>
  <c r="G84" i="20"/>
  <c r="G54" i="20" s="1"/>
  <c r="J78" i="18"/>
  <c r="L10" i="35"/>
  <c r="E78" i="20"/>
  <c r="E84" i="20" s="1"/>
  <c r="E54" i="20" s="1"/>
  <c r="H63" i="27"/>
  <c r="D84" i="21"/>
  <c r="H54" i="27"/>
  <c r="H64" i="27"/>
  <c r="E84" i="18"/>
  <c r="E54" i="18" s="1"/>
  <c r="F84" i="19"/>
  <c r="F54" i="19" s="1"/>
  <c r="H53" i="21"/>
  <c r="M62" i="20"/>
  <c r="L16" i="35"/>
  <c r="N16" i="35" s="1"/>
  <c r="M53" i="25"/>
  <c r="F62" i="4"/>
  <c r="E55" i="19" l="1"/>
  <c r="F61" i="27"/>
  <c r="F62" i="27" s="1"/>
  <c r="F55" i="27"/>
  <c r="D60" i="19"/>
  <c r="K53" i="4"/>
  <c r="O53" i="19"/>
  <c r="O53" i="4"/>
  <c r="O53" i="21"/>
  <c r="O53" i="20"/>
  <c r="O53" i="18"/>
  <c r="K74" i="21"/>
  <c r="J74" i="25"/>
  <c r="J75" i="21"/>
  <c r="E75" i="25"/>
  <c r="E87" i="27"/>
  <c r="D78" i="18"/>
  <c r="E25" i="25"/>
  <c r="J25" i="21"/>
  <c r="N73" i="20"/>
  <c r="N73" i="25" s="1"/>
  <c r="K73" i="25"/>
  <c r="G26" i="21"/>
  <c r="G24" i="25"/>
  <c r="E24" i="25"/>
  <c r="E26" i="21"/>
  <c r="J24" i="21"/>
  <c r="N53" i="18"/>
  <c r="D87" i="27"/>
  <c r="D78" i="4"/>
  <c r="I81" i="27"/>
  <c r="D78" i="25" s="1"/>
  <c r="J53" i="19"/>
  <c r="H78" i="19"/>
  <c r="H84" i="19" s="1"/>
  <c r="H54" i="19" s="1"/>
  <c r="H61" i="19" s="1"/>
  <c r="K13" i="35"/>
  <c r="H53" i="20"/>
  <c r="J26" i="20"/>
  <c r="K26" i="20" s="1"/>
  <c r="N26" i="20" s="1"/>
  <c r="J54" i="19"/>
  <c r="K54" i="19" s="1"/>
  <c r="N54" i="19" s="1"/>
  <c r="G55" i="27"/>
  <c r="D60" i="20"/>
  <c r="G56" i="27"/>
  <c r="G57" i="27" s="1"/>
  <c r="I84" i="20"/>
  <c r="I54" i="20" s="1"/>
  <c r="I78" i="25"/>
  <c r="N54" i="4"/>
  <c r="L78" i="21"/>
  <c r="L84" i="21" s="1"/>
  <c r="L60" i="21" s="1"/>
  <c r="L60" i="25" s="1"/>
  <c r="M15" i="35"/>
  <c r="N15" i="35" s="1"/>
  <c r="L53" i="25"/>
  <c r="J54" i="18"/>
  <c r="F78" i="21"/>
  <c r="M11" i="35"/>
  <c r="N11" i="35" s="1"/>
  <c r="F53" i="25"/>
  <c r="D60" i="21"/>
  <c r="H55" i="27"/>
  <c r="F63" i="4"/>
  <c r="H78" i="21"/>
  <c r="M13" i="35"/>
  <c r="F60" i="19"/>
  <c r="F61" i="19"/>
  <c r="H56" i="27"/>
  <c r="H57" i="27" s="1"/>
  <c r="J84" i="18"/>
  <c r="I61" i="18"/>
  <c r="I62" i="18"/>
  <c r="M63" i="20"/>
  <c r="M62" i="25"/>
  <c r="M63" i="25" s="1"/>
  <c r="G60" i="20"/>
  <c r="I62" i="21"/>
  <c r="I63" i="21" s="1"/>
  <c r="K84" i="18"/>
  <c r="N84" i="18" s="1"/>
  <c r="N78" i="18"/>
  <c r="F65" i="27" l="1"/>
  <c r="D62" i="19"/>
  <c r="D63" i="19" s="1"/>
  <c r="E59" i="19"/>
  <c r="K55" i="19"/>
  <c r="N55" i="19" s="1"/>
  <c r="H60" i="19"/>
  <c r="H62" i="19" s="1"/>
  <c r="D63" i="27"/>
  <c r="D54" i="27"/>
  <c r="D84" i="4"/>
  <c r="D64" i="27"/>
  <c r="I87" i="27"/>
  <c r="D84" i="25" s="1"/>
  <c r="P25" i="4"/>
  <c r="Q25" i="4" s="1"/>
  <c r="P25" i="20"/>
  <c r="Q25" i="20" s="1"/>
  <c r="P25" i="19"/>
  <c r="Q25" i="19" s="1"/>
  <c r="K25" i="21"/>
  <c r="P25" i="18"/>
  <c r="Q25" i="18" s="1"/>
  <c r="P25" i="21"/>
  <c r="Q25" i="21" s="1"/>
  <c r="J25" i="25"/>
  <c r="L13" i="35"/>
  <c r="N13" i="35" s="1"/>
  <c r="H78" i="20"/>
  <c r="H84" i="20" s="1"/>
  <c r="H54" i="20" s="1"/>
  <c r="J53" i="20"/>
  <c r="J24" i="25"/>
  <c r="P24" i="18"/>
  <c r="Q24" i="18" s="1"/>
  <c r="P24" i="4"/>
  <c r="Q24" i="4" s="1"/>
  <c r="K24" i="21"/>
  <c r="P24" i="21"/>
  <c r="Q24" i="21" s="1"/>
  <c r="P24" i="19"/>
  <c r="Q24" i="19" s="1"/>
  <c r="P24" i="20"/>
  <c r="Q24" i="20" s="1"/>
  <c r="H53" i="25"/>
  <c r="E26" i="25"/>
  <c r="E53" i="21"/>
  <c r="J26" i="21"/>
  <c r="P26" i="19" s="1"/>
  <c r="Q26" i="19" s="1"/>
  <c r="P26" i="4"/>
  <c r="Q26" i="4" s="1"/>
  <c r="E63" i="27"/>
  <c r="E64" i="27"/>
  <c r="E54" i="27"/>
  <c r="D84" i="18"/>
  <c r="J78" i="19"/>
  <c r="K53" i="19"/>
  <c r="N53" i="19" s="1"/>
  <c r="K74" i="25"/>
  <c r="N74" i="21"/>
  <c r="N74" i="25" s="1"/>
  <c r="G53" i="21"/>
  <c r="G26" i="25"/>
  <c r="K75" i="21"/>
  <c r="J75" i="25"/>
  <c r="N53" i="4"/>
  <c r="K78" i="4"/>
  <c r="E55" i="20"/>
  <c r="G61" i="27"/>
  <c r="G62" i="27" s="1"/>
  <c r="G65" i="27"/>
  <c r="D62" i="20"/>
  <c r="D63" i="20" s="1"/>
  <c r="I63" i="18"/>
  <c r="F84" i="21"/>
  <c r="F54" i="21" s="1"/>
  <c r="F78" i="25"/>
  <c r="H63" i="19"/>
  <c r="H84" i="21"/>
  <c r="H54" i="21" s="1"/>
  <c r="E55" i="21"/>
  <c r="E59" i="21" s="1"/>
  <c r="H61" i="27"/>
  <c r="H62" i="27" s="1"/>
  <c r="K54" i="18"/>
  <c r="L62" i="21"/>
  <c r="G61" i="20"/>
  <c r="G62" i="20"/>
  <c r="F62" i="19"/>
  <c r="H65" i="27"/>
  <c r="D62" i="21"/>
  <c r="I60" i="20"/>
  <c r="I54" i="25"/>
  <c r="K59" i="19" l="1"/>
  <c r="N59" i="19" s="1"/>
  <c r="E60" i="19"/>
  <c r="E56" i="27"/>
  <c r="E57" i="27" s="1"/>
  <c r="P26" i="21"/>
  <c r="Q26" i="21" s="1"/>
  <c r="G53" i="25"/>
  <c r="G78" i="21"/>
  <c r="M12" i="35"/>
  <c r="N12" i="35" s="1"/>
  <c r="H78" i="25"/>
  <c r="K84" i="4"/>
  <c r="N84" i="4" s="1"/>
  <c r="N78" i="4"/>
  <c r="N24" i="21"/>
  <c r="N24" i="25" s="1"/>
  <c r="K24" i="25"/>
  <c r="P26" i="20"/>
  <c r="Q26" i="20" s="1"/>
  <c r="J26" i="25"/>
  <c r="P26" i="18"/>
  <c r="Q26" i="18" s="1"/>
  <c r="K26" i="21"/>
  <c r="I64" i="27"/>
  <c r="J84" i="19"/>
  <c r="K78" i="19"/>
  <c r="E78" i="21"/>
  <c r="E53" i="25"/>
  <c r="J53" i="21"/>
  <c r="M10" i="35"/>
  <c r="N10" i="35" s="1"/>
  <c r="N17" i="35" s="1"/>
  <c r="N75" i="21"/>
  <c r="N75" i="25" s="1"/>
  <c r="K75" i="25"/>
  <c r="N25" i="21"/>
  <c r="N25" i="25" s="1"/>
  <c r="K25" i="25"/>
  <c r="D60" i="4"/>
  <c r="D55" i="27"/>
  <c r="I54" i="27"/>
  <c r="D60" i="25" s="1"/>
  <c r="H60" i="20"/>
  <c r="J54" i="20"/>
  <c r="K54" i="20" s="1"/>
  <c r="N54" i="20" s="1"/>
  <c r="D60" i="18"/>
  <c r="E55" i="27"/>
  <c r="K53" i="20"/>
  <c r="J78" i="20"/>
  <c r="J84" i="20" s="1"/>
  <c r="D56" i="27"/>
  <c r="I63" i="27"/>
  <c r="K55" i="20"/>
  <c r="N55" i="20" s="1"/>
  <c r="E59" i="20"/>
  <c r="E61" i="27"/>
  <c r="E55" i="18"/>
  <c r="F60" i="21"/>
  <c r="F54" i="25"/>
  <c r="D63" i="21"/>
  <c r="F63" i="19"/>
  <c r="I61" i="25"/>
  <c r="I60" i="25"/>
  <c r="G63" i="20"/>
  <c r="N54" i="18"/>
  <c r="L63" i="21"/>
  <c r="L62" i="25"/>
  <c r="L63" i="25" s="1"/>
  <c r="I61" i="20"/>
  <c r="I62" i="20"/>
  <c r="H60" i="21"/>
  <c r="H54" i="25"/>
  <c r="E61" i="19" l="1"/>
  <c r="J61" i="19" s="1"/>
  <c r="K61" i="19" s="1"/>
  <c r="N61" i="19" s="1"/>
  <c r="E62" i="19"/>
  <c r="E63" i="19" s="1"/>
  <c r="J60" i="19"/>
  <c r="O60" i="20"/>
  <c r="O60" i="19"/>
  <c r="O60" i="4"/>
  <c r="O60" i="18"/>
  <c r="O60" i="21"/>
  <c r="E84" i="21"/>
  <c r="E54" i="21" s="1"/>
  <c r="E78" i="25"/>
  <c r="K78" i="20"/>
  <c r="N53" i="20"/>
  <c r="N26" i="21"/>
  <c r="N26" i="25" s="1"/>
  <c r="K26" i="25"/>
  <c r="E65" i="27"/>
  <c r="D62" i="18"/>
  <c r="D63" i="18" s="1"/>
  <c r="H61" i="20"/>
  <c r="H62" i="20"/>
  <c r="H63" i="20" s="1"/>
  <c r="K84" i="19"/>
  <c r="N84" i="19" s="1"/>
  <c r="N78" i="19"/>
  <c r="P53" i="4"/>
  <c r="Q53" i="4" s="1"/>
  <c r="P53" i="19"/>
  <c r="Q53" i="19" s="1"/>
  <c r="P53" i="20"/>
  <c r="Q53" i="20" s="1"/>
  <c r="J78" i="21"/>
  <c r="K53" i="21"/>
  <c r="N53" i="21" s="1"/>
  <c r="J53" i="25"/>
  <c r="P53" i="21"/>
  <c r="Q53" i="21" s="1"/>
  <c r="P53" i="18"/>
  <c r="Q53" i="18" s="1"/>
  <c r="G78" i="25"/>
  <c r="G84" i="21"/>
  <c r="G54" i="21" s="1"/>
  <c r="D57" i="27"/>
  <c r="I56" i="27"/>
  <c r="D62" i="4"/>
  <c r="D65" i="27"/>
  <c r="I55" i="27"/>
  <c r="K59" i="20"/>
  <c r="N59" i="20" s="1"/>
  <c r="E60" i="20"/>
  <c r="I63" i="20"/>
  <c r="I62" i="25"/>
  <c r="I63" i="25" s="1"/>
  <c r="K55" i="18"/>
  <c r="E59" i="18"/>
  <c r="F61" i="21"/>
  <c r="F61" i="25" s="1"/>
  <c r="F62" i="21"/>
  <c r="F60" i="25"/>
  <c r="E62" i="27"/>
  <c r="H60" i="25"/>
  <c r="H61" i="25"/>
  <c r="H61" i="21"/>
  <c r="H62" i="21"/>
  <c r="N60" i="19" l="1"/>
  <c r="K60" i="19"/>
  <c r="J62" i="19"/>
  <c r="N53" i="25"/>
  <c r="D63" i="4"/>
  <c r="O62" i="18"/>
  <c r="O63" i="18" s="1"/>
  <c r="O62" i="20"/>
  <c r="O63" i="20" s="1"/>
  <c r="O62" i="4"/>
  <c r="O63" i="4" s="1"/>
  <c r="O62" i="21"/>
  <c r="O63" i="21" s="1"/>
  <c r="O62" i="19"/>
  <c r="O63" i="19" s="1"/>
  <c r="J78" i="25"/>
  <c r="J84" i="21"/>
  <c r="K78" i="21"/>
  <c r="N78" i="21" s="1"/>
  <c r="E54" i="25"/>
  <c r="P54" i="20"/>
  <c r="Q54" i="20" s="1"/>
  <c r="E60" i="21"/>
  <c r="J54" i="21"/>
  <c r="D61" i="27"/>
  <c r="E55" i="4"/>
  <c r="I57" i="27"/>
  <c r="K84" i="20"/>
  <c r="N84" i="20" s="1"/>
  <c r="N78" i="20"/>
  <c r="G60" i="21"/>
  <c r="G54" i="25"/>
  <c r="K53" i="25"/>
  <c r="I65" i="27"/>
  <c r="D62" i="25"/>
  <c r="D63" i="25" s="1"/>
  <c r="E62" i="20"/>
  <c r="E63" i="20" s="1"/>
  <c r="J60" i="20"/>
  <c r="E61" i="20"/>
  <c r="J61" i="20" s="1"/>
  <c r="K61" i="20" s="1"/>
  <c r="N61" i="20" s="1"/>
  <c r="H63" i="21"/>
  <c r="H62" i="25"/>
  <c r="H63" i="25" s="1"/>
  <c r="F63" i="21"/>
  <c r="F62" i="25"/>
  <c r="F63" i="25" s="1"/>
  <c r="K59" i="18"/>
  <c r="E60" i="18"/>
  <c r="N55" i="18"/>
  <c r="N78" i="25" l="1"/>
  <c r="J63" i="19"/>
  <c r="K62" i="19"/>
  <c r="K78" i="25"/>
  <c r="P54" i="21"/>
  <c r="Q54" i="21" s="1"/>
  <c r="P54" i="4"/>
  <c r="Q54" i="4" s="1"/>
  <c r="K54" i="21"/>
  <c r="K54" i="25" s="1"/>
  <c r="P54" i="18"/>
  <c r="Q54" i="18" s="1"/>
  <c r="P54" i="19"/>
  <c r="Q54" i="19" s="1"/>
  <c r="J54" i="25"/>
  <c r="N54" i="21"/>
  <c r="N54" i="25" s="1"/>
  <c r="D62" i="27"/>
  <c r="I62" i="27" s="1"/>
  <c r="I61" i="27"/>
  <c r="J61" i="27" s="1"/>
  <c r="E61" i="21"/>
  <c r="J60" i="21"/>
  <c r="E62" i="21"/>
  <c r="E63" i="21" s="1"/>
  <c r="G60" i="25"/>
  <c r="G61" i="25"/>
  <c r="G61" i="21"/>
  <c r="G62" i="21"/>
  <c r="K84" i="21"/>
  <c r="N84" i="21" s="1"/>
  <c r="N84" i="25" s="1"/>
  <c r="J84" i="25"/>
  <c r="K84" i="25"/>
  <c r="K55" i="4"/>
  <c r="K55" i="25" s="1"/>
  <c r="N55" i="4"/>
  <c r="N55" i="25" s="1"/>
  <c r="E59" i="4"/>
  <c r="E55" i="25"/>
  <c r="P55" i="4"/>
  <c r="Q55" i="4" s="1"/>
  <c r="P55" i="21"/>
  <c r="Q55" i="21" s="1"/>
  <c r="P55" i="19"/>
  <c r="Q55" i="19" s="1"/>
  <c r="P55" i="18"/>
  <c r="Q55" i="18" s="1"/>
  <c r="P55" i="20"/>
  <c r="Q55" i="20" s="1"/>
  <c r="N60" i="20"/>
  <c r="K60" i="20"/>
  <c r="J62" i="20"/>
  <c r="E61" i="18"/>
  <c r="J60" i="18"/>
  <c r="E62" i="18"/>
  <c r="N59" i="18"/>
  <c r="N62" i="19" l="1"/>
  <c r="N63" i="19" s="1"/>
  <c r="K63" i="19"/>
  <c r="G63" i="21"/>
  <c r="G62" i="25"/>
  <c r="G63" i="25" s="1"/>
  <c r="K59" i="4"/>
  <c r="K59" i="25" s="1"/>
  <c r="E60" i="4"/>
  <c r="N59" i="4"/>
  <c r="N59" i="25" s="1"/>
  <c r="E59" i="25"/>
  <c r="P59" i="20"/>
  <c r="Q59" i="20" s="1"/>
  <c r="P59" i="19"/>
  <c r="Q59" i="19" s="1"/>
  <c r="P59" i="18"/>
  <c r="Q59" i="18" s="1"/>
  <c r="P59" i="4"/>
  <c r="Q59" i="4" s="1"/>
  <c r="P59" i="21"/>
  <c r="Q59" i="21" s="1"/>
  <c r="K60" i="21"/>
  <c r="J62" i="21"/>
  <c r="J61" i="21"/>
  <c r="K61" i="21" s="1"/>
  <c r="N61" i="21" s="1"/>
  <c r="J63" i="20"/>
  <c r="K62" i="20"/>
  <c r="J62" i="18"/>
  <c r="E63" i="18"/>
  <c r="K62" i="18"/>
  <c r="N60" i="18"/>
  <c r="K60" i="18"/>
  <c r="J61" i="18"/>
  <c r="J60" i="4" l="1"/>
  <c r="E61" i="4"/>
  <c r="E62" i="4"/>
  <c r="E60" i="25"/>
  <c r="K62" i="21"/>
  <c r="J63" i="21"/>
  <c r="K63" i="20"/>
  <c r="N62" i="20"/>
  <c r="N63" i="20" s="1"/>
  <c r="K61" i="18"/>
  <c r="K63" i="18"/>
  <c r="N62" i="18"/>
  <c r="J63" i="18"/>
  <c r="K63" i="21" l="1"/>
  <c r="N62" i="21"/>
  <c r="N63" i="21" s="1"/>
  <c r="E63" i="4"/>
  <c r="K62" i="4"/>
  <c r="E62" i="25"/>
  <c r="E63" i="25" s="1"/>
  <c r="J61" i="4"/>
  <c r="E61" i="25"/>
  <c r="K60" i="4"/>
  <c r="N60" i="4"/>
  <c r="J62" i="4"/>
  <c r="P60" i="19"/>
  <c r="Q60" i="19" s="1"/>
  <c r="P60" i="20"/>
  <c r="Q60" i="20" s="1"/>
  <c r="P60" i="21"/>
  <c r="Q60" i="21" s="1"/>
  <c r="P60" i="4"/>
  <c r="Q60" i="4" s="1"/>
  <c r="J60" i="25"/>
  <c r="N63" i="18"/>
  <c r="N61" i="18"/>
  <c r="K60" i="25" l="1"/>
  <c r="P60" i="18"/>
  <c r="Q60" i="18" s="1"/>
  <c r="K63" i="4"/>
  <c r="K62" i="25"/>
  <c r="K63" i="25" s="1"/>
  <c r="K61" i="4"/>
  <c r="P61" i="19"/>
  <c r="Q61" i="19" s="1"/>
  <c r="J61" i="25"/>
  <c r="P61" i="4"/>
  <c r="Q61" i="4" s="1"/>
  <c r="P61" i="21"/>
  <c r="Q61" i="21" s="1"/>
  <c r="P61" i="20"/>
  <c r="Q61" i="20" s="1"/>
  <c r="J63" i="4"/>
  <c r="P62" i="21"/>
  <c r="P62" i="4"/>
  <c r="P62" i="19"/>
  <c r="P62" i="20"/>
  <c r="P62" i="18"/>
  <c r="J62" i="25"/>
  <c r="J63" i="25" s="1"/>
  <c r="N62" i="4"/>
  <c r="N60" i="25"/>
  <c r="P63" i="21" l="1"/>
  <c r="Q62" i="21"/>
  <c r="Q63" i="21" s="1"/>
  <c r="N61" i="4"/>
  <c r="N61" i="25" s="1"/>
  <c r="P61" i="18"/>
  <c r="Q61" i="18" s="1"/>
  <c r="K61" i="25"/>
  <c r="Q62" i="19"/>
  <c r="Q63" i="19" s="1"/>
  <c r="P63" i="19"/>
  <c r="P63" i="4"/>
  <c r="Q62" i="4"/>
  <c r="Q63" i="4" s="1"/>
  <c r="N63" i="4"/>
  <c r="N62" i="25"/>
  <c r="N63" i="25" s="1"/>
  <c r="Q62" i="20"/>
  <c r="Q63" i="20" s="1"/>
  <c r="P63" i="20"/>
  <c r="Q62" i="18"/>
  <c r="Q63" i="18" s="1"/>
  <c r="P6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Ward</author>
  </authors>
  <commentList>
    <comment ref="L1" authorId="0" shapeId="0" xr:uid="{00000000-0006-0000-0000-000001000000}">
      <text>
        <r>
          <rPr>
            <b/>
            <sz val="9"/>
            <color indexed="81"/>
            <rFont val="Tahoma"/>
            <family val="2"/>
          </rPr>
          <t>Laura Ward:</t>
        </r>
        <r>
          <rPr>
            <sz val="9"/>
            <color indexed="81"/>
            <rFont val="Tahoma"/>
            <family val="2"/>
          </rPr>
          <t xml:space="preserve">
I don't think we've ever used this text box.
I suggest you move the modified date into this spot so it's consistent with Sponsor sheet</t>
        </r>
      </text>
    </comment>
  </commentList>
</comments>
</file>

<file path=xl/sharedStrings.xml><?xml version="1.0" encoding="utf-8"?>
<sst xmlns="http://schemas.openxmlformats.org/spreadsheetml/2006/main" count="1642" uniqueCount="701">
  <si>
    <t>Instructions for using the ORA Proposal Budget workbook</t>
  </si>
  <si>
    <t>DO NOT add or delete rows or columns in any of the sheets in this workbook.</t>
  </si>
  <si>
    <t>DO NOT put this workbook on GoogleDrive or GoogleDocs</t>
  </si>
  <si>
    <t>The ORA Budget spreadsheet is NOT compatible with GoogleDocs, which compromises its security settings. Budgets that have</t>
  </si>
  <si>
    <t>been altered by GoogleDocs will have to be recreated by ORA staff in a protected sheet, which will delay the review of your</t>
  </si>
  <si>
    <t>Indirect Cost Rates</t>
  </si>
  <si>
    <t>proposed budget.</t>
  </si>
  <si>
    <t>FY</t>
  </si>
  <si>
    <t>Project Type</t>
  </si>
  <si>
    <t>On Campus</t>
  </si>
  <si>
    <t>Off Campus</t>
  </si>
  <si>
    <t>Research</t>
  </si>
  <si>
    <t>Instruction</t>
  </si>
  <si>
    <t>Other</t>
  </si>
  <si>
    <t>24+</t>
  </si>
  <si>
    <t>Budget Preparation</t>
  </si>
  <si>
    <r>
      <t xml:space="preserve">    Start with the Sponsor tab. Enter the </t>
    </r>
    <r>
      <rPr>
        <b/>
        <sz val="9"/>
        <rFont val="Arial"/>
        <family val="2"/>
      </rPr>
      <t>descriptors</t>
    </r>
    <r>
      <rPr>
        <sz val="9"/>
        <rFont val="Arial"/>
        <family val="2"/>
      </rPr>
      <t>, such as account codes, names of personnel, equipment to be</t>
    </r>
  </si>
  <si>
    <t>purchased, etc. for ALL items that will be used to enter either a Sponsor or UMaine cost. These will flow down to the</t>
  </si>
  <si>
    <r>
      <t xml:space="preserve">other worksheets, where the amounts can be entered for UMaine costs. </t>
    </r>
    <r>
      <rPr>
        <b/>
        <sz val="9"/>
        <rFont val="Arial"/>
        <family val="2"/>
      </rPr>
      <t>Amounts</t>
    </r>
    <r>
      <rPr>
        <sz val="9"/>
        <rFont val="Arial"/>
        <family val="2"/>
      </rPr>
      <t xml:space="preserve"> entered in the Sponsor tab should</t>
    </r>
  </si>
  <si>
    <t xml:space="preserve">only be those that will be charged to the sponsor. If there is no University cost sharing, you need only fill out the </t>
  </si>
  <si>
    <t>Fringe Benefit Rates</t>
  </si>
  <si>
    <t>Sponsor worksheet.  Common account codes and cost categories can be found in the Toolbox tab.</t>
  </si>
  <si>
    <t>25+</t>
  </si>
  <si>
    <t>All Regular Employees</t>
  </si>
  <si>
    <t>Cost Sharing</t>
  </si>
  <si>
    <t>Faculty Summer Salary / Temps</t>
  </si>
  <si>
    <t xml:space="preserve">      Start by entering the chartfields of the source accounts into the CS tab. These become the column headings in the</t>
  </si>
  <si>
    <t>worksheet tabs corresponding to the project years (UMYr1, UMYr2, etc.) where budget detail for cost-share will be entered.</t>
  </si>
  <si>
    <t>In-Kind Cost Sharing</t>
  </si>
  <si>
    <t>In-Kind Cost Sharing should be entered into the dedicated rows in the CS tab.</t>
  </si>
  <si>
    <t xml:space="preserve">Sponsor charges flow down to the cost sharing worksheets for reference, but cannot be edited there. </t>
  </si>
  <si>
    <t>Other Direct Costs and Additional Items</t>
  </si>
  <si>
    <t>The upper rows of the budget worksheets describe items that are common to most proposals, but it is not comprehensive.</t>
  </si>
  <si>
    <t xml:space="preserve">For other direct costs, or for additional personnel, additional capital costs, and subawards there are sections at the bottom </t>
  </si>
  <si>
    <t xml:space="preserve">of the sheet where the additional or unlisted items can be entered. The total for each section appears in the corresponding </t>
  </si>
  <si>
    <t>row and column in the upper section of the budget.</t>
  </si>
  <si>
    <t>Account Codes for Salary</t>
  </si>
  <si>
    <t>Summer salary is treated as temporary employment for the purpose of calculating fringe benefits. It is essential that the</t>
  </si>
  <si>
    <t xml:space="preserve">proper account code be assigned in Column A of the salary line. </t>
  </si>
  <si>
    <t>IMPORTANT: Regular salary account codes MUST be followed by "-R" for finge benefits to calculate correctly.</t>
  </si>
  <si>
    <t>A complete listing of account codes and descriptors can be found in the Toolbox tab.</t>
  </si>
  <si>
    <t>Cumulative, Summary and NSF Spreadsheets</t>
  </si>
  <si>
    <t xml:space="preserve">The Cumulative tab shows totals for each line item in the budget. The Summary by Source spreadsheet is a consolidated view which </t>
  </si>
  <si>
    <t xml:space="preserve">shows totals for each year in very broad categories organized by source of funds. Tuition and graduate student costs are also </t>
  </si>
  <si>
    <t>shown specifically. The NSF spreadsheet converts the Sponsor sheet, which is more detailed and conforms to the UMaine</t>
  </si>
  <si>
    <t xml:space="preserve"> accounting system, to the NSF budget format suitable for entering amounts into Fastlane.</t>
  </si>
  <si>
    <t xml:space="preserve"> For more comprehensive budget instructions go to: </t>
  </si>
  <si>
    <t>http://www.pars.umesp.maine.edu/ORAWeb/GuideToBudgetPreparation.pdf</t>
  </si>
  <si>
    <t xml:space="preserve">     For further assistance with budget issues, contact your assigned ORA Pre-Award staff member.</t>
  </si>
  <si>
    <t>ORA Budget Form Revised  10/15/24</t>
  </si>
  <si>
    <t>Frequently used Account Codes highlighted in green</t>
  </si>
  <si>
    <t>Account</t>
  </si>
  <si>
    <t>Description</t>
  </si>
  <si>
    <t>Fringe Type</t>
  </si>
  <si>
    <t>Faculty Salaries</t>
  </si>
  <si>
    <t>Regular</t>
  </si>
  <si>
    <t>Fac Sal Overload Teaching</t>
  </si>
  <si>
    <t>Temporary</t>
  </si>
  <si>
    <t>Fac Sal Fixed Length</t>
  </si>
  <si>
    <t>Fac Sal Cancellation Fees</t>
  </si>
  <si>
    <t>Fac Sal Asynch/ITV Fees</t>
  </si>
  <si>
    <t>Fac Sal Non-Cr Crs Fees</t>
  </si>
  <si>
    <t>Fac Sal Stipend Chair</t>
  </si>
  <si>
    <t>Fac Sal Stipend Coordinator</t>
  </si>
  <si>
    <t>Fac Sal Stipend</t>
  </si>
  <si>
    <t>Fac Sal Additional Comp</t>
  </si>
  <si>
    <t>Fac Sal Summer Salary G&amp;C</t>
  </si>
  <si>
    <t>Fringe Benefit Rate</t>
  </si>
  <si>
    <t>Fac Sal Summer Salary Admin</t>
  </si>
  <si>
    <t>Fac Sal Temporary</t>
  </si>
  <si>
    <t>Temp</t>
  </si>
  <si>
    <t>Fac Sal Adjunct Fall</t>
  </si>
  <si>
    <t>Fac Sal Adjunct Spring</t>
  </si>
  <si>
    <t>Fac Sal Adjunct Summer</t>
  </si>
  <si>
    <t>Fac Sal Overload Fall</t>
  </si>
  <si>
    <t>Fac Sal Overload Spring</t>
  </si>
  <si>
    <t>Fac Sal Teaching Summer</t>
  </si>
  <si>
    <t>Fac Sal Add Comp Dean</t>
  </si>
  <si>
    <t>50030</t>
  </si>
  <si>
    <t>Fac Unqualified Moving Exp</t>
  </si>
  <si>
    <t>AFUM Faculty Salaries Base</t>
  </si>
  <si>
    <t>AFUM Faculty Sal Fixed Length</t>
  </si>
  <si>
    <t>Non-Rep Faculty Salaries Base</t>
  </si>
  <si>
    <t>PATFA PT Reg Fac Salaries Base</t>
  </si>
  <si>
    <t>PATFA PT Temp Faculty Salaries</t>
  </si>
  <si>
    <t>PATFA Faculty Salaries Fall</t>
  </si>
  <si>
    <t>PATFA Faculty Salaries Spring</t>
  </si>
  <si>
    <t>PATFA Faculty Salaries Summer</t>
  </si>
  <si>
    <t>PATFA Full AY Appointment</t>
  </si>
  <si>
    <t>Non-Faculty Salaries</t>
  </si>
  <si>
    <t>Non-Fac Overload Teaching</t>
  </si>
  <si>
    <t>Non-Fac Fixed Length</t>
  </si>
  <si>
    <t>Non-Fac Cancellation Fees</t>
  </si>
  <si>
    <t>Non-Fac Asynch/ITV Fees</t>
  </si>
  <si>
    <t>Non-Fac Non-Cr Crs Fees</t>
  </si>
  <si>
    <t>Non-Fac Stipend Coordinator</t>
  </si>
  <si>
    <t>Non-Fac Stipend</t>
  </si>
  <si>
    <t>Non-Fac Additional Comp</t>
  </si>
  <si>
    <t>Non-Fac Overtime</t>
  </si>
  <si>
    <t>51030</t>
  </si>
  <si>
    <t>Non-Fac Unqualified Moving Exp</t>
  </si>
  <si>
    <t>UMPSA Professional Base</t>
  </si>
  <si>
    <t>UMPSA Economic Assistance</t>
  </si>
  <si>
    <t>51200</t>
  </si>
  <si>
    <t>Non-Represented Professional Base</t>
  </si>
  <si>
    <t>Management Group Base</t>
  </si>
  <si>
    <t>Non-Rep Prof Economic Assist</t>
  </si>
  <si>
    <t>Wages Classified - Regular</t>
  </si>
  <si>
    <t>Classified Overload Teaching</t>
  </si>
  <si>
    <t>52002</t>
  </si>
  <si>
    <t>Shift</t>
  </si>
  <si>
    <t>52003</t>
  </si>
  <si>
    <t>Call Back</t>
  </si>
  <si>
    <t>Classified Addtl Comp</t>
  </si>
  <si>
    <t>Classified Overtime</t>
  </si>
  <si>
    <t>52012</t>
  </si>
  <si>
    <t>Classified Temporary</t>
  </si>
  <si>
    <t>52030</t>
  </si>
  <si>
    <t>Classified Unqual Moving Exp</t>
  </si>
  <si>
    <t>Wages Confidential</t>
  </si>
  <si>
    <t>Wages COLT</t>
  </si>
  <si>
    <t>Wages S&amp;M</t>
  </si>
  <si>
    <t>Wages Police</t>
  </si>
  <si>
    <t>Wages Supervisors</t>
  </si>
  <si>
    <t>53000 - 53291 Federal Work Study (not allowable on grants)</t>
  </si>
  <si>
    <t>NONE</t>
  </si>
  <si>
    <t>Student Work Merit</t>
  </si>
  <si>
    <t>Student Work Initiative</t>
  </si>
  <si>
    <t>Student Tutorial</t>
  </si>
  <si>
    <t>53310</t>
  </si>
  <si>
    <t>Student Other - Summer</t>
  </si>
  <si>
    <t>53311</t>
  </si>
  <si>
    <t>Student Work Merit - Summer</t>
  </si>
  <si>
    <t>53312</t>
  </si>
  <si>
    <t>Student Work Initi - Summer</t>
  </si>
  <si>
    <t>53313</t>
  </si>
  <si>
    <t>Student Tutorial - Summer</t>
  </si>
  <si>
    <t>53314</t>
  </si>
  <si>
    <t>Student Univ Wk Study - Summer</t>
  </si>
  <si>
    <t>53900</t>
  </si>
  <si>
    <t>Compensation Adjustment</t>
  </si>
  <si>
    <t>53901</t>
  </si>
  <si>
    <t>Severance Pay</t>
  </si>
  <si>
    <t>53902</t>
  </si>
  <si>
    <t>Pay-in-lieu of Notice</t>
  </si>
  <si>
    <t>53903</t>
  </si>
  <si>
    <t>Retrenchment</t>
  </si>
  <si>
    <t>Employee Benefits Distribution</t>
  </si>
  <si>
    <t>54810</t>
  </si>
  <si>
    <t>Employee Ben Dist - Temp Empl</t>
  </si>
  <si>
    <t>55101</t>
  </si>
  <si>
    <t>Grants--Student Aid</t>
  </si>
  <si>
    <t>55102</t>
  </si>
  <si>
    <t>Student Recognition Awards</t>
  </si>
  <si>
    <t>55103</t>
  </si>
  <si>
    <t>Academic Ed Grants</t>
  </si>
  <si>
    <t>55104</t>
  </si>
  <si>
    <t>Scholarship-Books</t>
  </si>
  <si>
    <t>55190</t>
  </si>
  <si>
    <t>Matched Scholarships</t>
  </si>
  <si>
    <t>End of Salary Account Codes</t>
  </si>
  <si>
    <t>Independent Personal Services</t>
  </si>
  <si>
    <t>60001</t>
  </si>
  <si>
    <t>Athletic Officials/Game Crew</t>
  </si>
  <si>
    <t>60003</t>
  </si>
  <si>
    <t>Entertainers/Performers</t>
  </si>
  <si>
    <t>60004</t>
  </si>
  <si>
    <t>Honoraria and Lecture Fees</t>
  </si>
  <si>
    <t>60008</t>
  </si>
  <si>
    <t>Models</t>
  </si>
  <si>
    <t>60070</t>
  </si>
  <si>
    <t>Indep Pers Svcs &gt; $25000</t>
  </si>
  <si>
    <t>60071</t>
  </si>
  <si>
    <t>Indep Pers Svcs &gt; $25K No F&amp;A</t>
  </si>
  <si>
    <t>60101</t>
  </si>
  <si>
    <t>Appraisal Fees</t>
  </si>
  <si>
    <t>60102</t>
  </si>
  <si>
    <t>Audit Fees</t>
  </si>
  <si>
    <t>60103</t>
  </si>
  <si>
    <t>Catering Svcs</t>
  </si>
  <si>
    <t>60104</t>
  </si>
  <si>
    <t>Dining Services</t>
  </si>
  <si>
    <t>60105</t>
  </si>
  <si>
    <t>Dry-Cleaning Svcs</t>
  </si>
  <si>
    <t>60106</t>
  </si>
  <si>
    <t>Exterminating Svcs</t>
  </si>
  <si>
    <t>60107</t>
  </si>
  <si>
    <t>Laundry Svcs</t>
  </si>
  <si>
    <t>60108</t>
  </si>
  <si>
    <t>Legal Fees</t>
  </si>
  <si>
    <t>60109</t>
  </si>
  <si>
    <t>Training Services</t>
  </si>
  <si>
    <t>60110</t>
  </si>
  <si>
    <t>Lockbox Fees</t>
  </si>
  <si>
    <t>60113</t>
  </si>
  <si>
    <t>Courier Service</t>
  </si>
  <si>
    <t>60114</t>
  </si>
  <si>
    <t>Interpreter</t>
  </si>
  <si>
    <t>60115</t>
  </si>
  <si>
    <t>Trash Removal</t>
  </si>
  <si>
    <t>60116</t>
  </si>
  <si>
    <t>Recycling Services</t>
  </si>
  <si>
    <t>Food Services</t>
  </si>
  <si>
    <t>60118</t>
  </si>
  <si>
    <t>Evaluation Services</t>
  </si>
  <si>
    <t>60119</t>
  </si>
  <si>
    <t>Analytical Services</t>
  </si>
  <si>
    <t>60120</t>
  </si>
  <si>
    <t>Workshop Costs</t>
  </si>
  <si>
    <t>60121</t>
  </si>
  <si>
    <t>Hazardous Waste Removal</t>
  </si>
  <si>
    <t>60122</t>
  </si>
  <si>
    <t>Lodging Non-Travel</t>
  </si>
  <si>
    <t>60123</t>
  </si>
  <si>
    <t>Snow Removal</t>
  </si>
  <si>
    <t>60124</t>
  </si>
  <si>
    <t>Workers Comp Administration</t>
  </si>
  <si>
    <t>60125</t>
  </si>
  <si>
    <t>Lawn Care Services</t>
  </si>
  <si>
    <t>Participant Costs - Food</t>
  </si>
  <si>
    <t>Participant Costs - In-State Travel</t>
  </si>
  <si>
    <t>Participant Costs - International Travel</t>
  </si>
  <si>
    <t>Participant Costs - Out-of-State Travel</t>
  </si>
  <si>
    <t>Participant Costs - Registration</t>
  </si>
  <si>
    <t>60301</t>
  </si>
  <si>
    <t>Accreditation Fees</t>
  </si>
  <si>
    <t>60302</t>
  </si>
  <si>
    <t>Conference &amp; Registration Fees</t>
  </si>
  <si>
    <t>60303</t>
  </si>
  <si>
    <t>Legal &amp; Insur Claim Settlemnts</t>
  </si>
  <si>
    <t>60304</t>
  </si>
  <si>
    <t>Licenses and Permits</t>
  </si>
  <si>
    <t>60305</t>
  </si>
  <si>
    <t>Membership Fees</t>
  </si>
  <si>
    <t>60306</t>
  </si>
  <si>
    <t>Payment in Lieu of Taxes</t>
  </si>
  <si>
    <t>60308</t>
  </si>
  <si>
    <t>Property Taxes</t>
  </si>
  <si>
    <t>60309</t>
  </si>
  <si>
    <t>Royalties</t>
  </si>
  <si>
    <t>60310</t>
  </si>
  <si>
    <t>Taxes and Assessments</t>
  </si>
  <si>
    <t>60311</t>
  </si>
  <si>
    <t>Banking Fees</t>
  </si>
  <si>
    <t>60313</t>
  </si>
  <si>
    <t>Recruiting Events Fees</t>
  </si>
  <si>
    <t>60314</t>
  </si>
  <si>
    <t>Credit Card Fees</t>
  </si>
  <si>
    <t>60315</t>
  </si>
  <si>
    <t>Vehicle Registration Fees</t>
  </si>
  <si>
    <t>60316</t>
  </si>
  <si>
    <t>Athletic Guarantees</t>
  </si>
  <si>
    <t>60319</t>
  </si>
  <si>
    <t>Testing Fees</t>
  </si>
  <si>
    <t>60321</t>
  </si>
  <si>
    <t>Other fees expense</t>
  </si>
  <si>
    <t>60400</t>
  </si>
  <si>
    <t>Postage &amp; Delivery Svc</t>
  </si>
  <si>
    <t>60401</t>
  </si>
  <si>
    <t>Bulk Mail US Post Office</t>
  </si>
  <si>
    <t>60402</t>
  </si>
  <si>
    <t>Delivery Svc (e.g. FedEx  UPS)</t>
  </si>
  <si>
    <t>60403</t>
  </si>
  <si>
    <t>First Class US Mail</t>
  </si>
  <si>
    <t>60404</t>
  </si>
  <si>
    <t>Postage Reimbursements</t>
  </si>
  <si>
    <t>60405</t>
  </si>
  <si>
    <t>Courier Services</t>
  </si>
  <si>
    <t>60406</t>
  </si>
  <si>
    <t>Business Reply</t>
  </si>
  <si>
    <t>60407</t>
  </si>
  <si>
    <t>Postage Due</t>
  </si>
  <si>
    <t>60500</t>
  </si>
  <si>
    <t>Advertising</t>
  </si>
  <si>
    <t>60520</t>
  </si>
  <si>
    <t>Internet Advertising</t>
  </si>
  <si>
    <t>60521</t>
  </si>
  <si>
    <t>Recruit Empl Advtisng Internet</t>
  </si>
  <si>
    <t>60522</t>
  </si>
  <si>
    <t>Recruit Stdt Advtisng Internet</t>
  </si>
  <si>
    <t>60523</t>
  </si>
  <si>
    <t>Recruit Athl Advtisng Internet</t>
  </si>
  <si>
    <t>60540</t>
  </si>
  <si>
    <t>Radio Advertising</t>
  </si>
  <si>
    <t>60541</t>
  </si>
  <si>
    <t>Recruit Empl Advertising Radio</t>
  </si>
  <si>
    <t>60542</t>
  </si>
  <si>
    <t>Recruit Stdt Advertising Radio</t>
  </si>
  <si>
    <t>60543</t>
  </si>
  <si>
    <t>Recruit Athl Advertising Radio</t>
  </si>
  <si>
    <t>60560</t>
  </si>
  <si>
    <t>TV Advertising</t>
  </si>
  <si>
    <t>60561</t>
  </si>
  <si>
    <t>Recruit Empl Advertising TV</t>
  </si>
  <si>
    <t>60562</t>
  </si>
  <si>
    <t>Recruit Stdt Advertising TV</t>
  </si>
  <si>
    <t>60563</t>
  </si>
  <si>
    <t>Recruit Athl Advertising TV</t>
  </si>
  <si>
    <t>60580</t>
  </si>
  <si>
    <t>Newspaper/Magazine Advertising</t>
  </si>
  <si>
    <t>60581</t>
  </si>
  <si>
    <t>Recruit Empl Advertising Print</t>
  </si>
  <si>
    <t>60582</t>
  </si>
  <si>
    <t>Recruit Stdt Advertising Print</t>
  </si>
  <si>
    <t>60583</t>
  </si>
  <si>
    <t>Recruit Athl Advertising Print</t>
  </si>
  <si>
    <t>60601</t>
  </si>
  <si>
    <t>Addressing and Mailing</t>
  </si>
  <si>
    <t>60602</t>
  </si>
  <si>
    <t>Binding</t>
  </si>
  <si>
    <t>60605</t>
  </si>
  <si>
    <t>Publication Design</t>
  </si>
  <si>
    <t>Insurance</t>
  </si>
  <si>
    <t>60701</t>
  </si>
  <si>
    <t>Auto Damage Insurance</t>
  </si>
  <si>
    <t>60702</t>
  </si>
  <si>
    <t>Boiler Insurance</t>
  </si>
  <si>
    <t>60703</t>
  </si>
  <si>
    <t>Crime Insurance Policy</t>
  </si>
  <si>
    <t>60704</t>
  </si>
  <si>
    <t>Directors &amp; Officers Insurance</t>
  </si>
  <si>
    <t>60705</t>
  </si>
  <si>
    <t>General Liability Insurance</t>
  </si>
  <si>
    <t>60706</t>
  </si>
  <si>
    <t>Misc Liability Insurance</t>
  </si>
  <si>
    <t>60707</t>
  </si>
  <si>
    <t>Misc Property Insurance</t>
  </si>
  <si>
    <t>60708</t>
  </si>
  <si>
    <t>Property Insurance</t>
  </si>
  <si>
    <t>60709</t>
  </si>
  <si>
    <t>Railroad Liability Insurance</t>
  </si>
  <si>
    <t>60710</t>
  </si>
  <si>
    <t>Special Insurance</t>
  </si>
  <si>
    <t>60711</t>
  </si>
  <si>
    <t>Travel Insurance</t>
  </si>
  <si>
    <t>60712</t>
  </si>
  <si>
    <t>Workers Comp Excess</t>
  </si>
  <si>
    <t>60713</t>
  </si>
  <si>
    <t>Condominium Insurance</t>
  </si>
  <si>
    <t>60901</t>
  </si>
  <si>
    <t>Books</t>
  </si>
  <si>
    <t>60902</t>
  </si>
  <si>
    <t>Magazines and Journals</t>
  </si>
  <si>
    <t>60903</t>
  </si>
  <si>
    <t>Newspapers</t>
  </si>
  <si>
    <t>61001</t>
  </si>
  <si>
    <t>Athletic Supplies</t>
  </si>
  <si>
    <t>61002</t>
  </si>
  <si>
    <t>Awards &amp; Recognition Items</t>
  </si>
  <si>
    <t>61004</t>
  </si>
  <si>
    <t>Cleaning Supplies</t>
  </si>
  <si>
    <t>61005</t>
  </si>
  <si>
    <t>Computer Supplies</t>
  </si>
  <si>
    <t>61007</t>
  </si>
  <si>
    <t>Food and Provisions</t>
  </si>
  <si>
    <t>61008</t>
  </si>
  <si>
    <t>Interdepartmnt Service &amp; Sales</t>
  </si>
  <si>
    <t>61009</t>
  </si>
  <si>
    <t>Laboratory Supplies</t>
  </si>
  <si>
    <t>61010</t>
  </si>
  <si>
    <t>Lighting Supplies</t>
  </si>
  <si>
    <t>61011</t>
  </si>
  <si>
    <t>Linens  Uniforms and Clothing</t>
  </si>
  <si>
    <t>61013</t>
  </si>
  <si>
    <t>Medical Supplies</t>
  </si>
  <si>
    <t>61015</t>
  </si>
  <si>
    <t>Office Supplies</t>
  </si>
  <si>
    <t>61016</t>
  </si>
  <si>
    <t>Paper Products</t>
  </si>
  <si>
    <t>61017</t>
  </si>
  <si>
    <t>Photo Supplies</t>
  </si>
  <si>
    <t>61019</t>
  </si>
  <si>
    <t>Small Appliances</t>
  </si>
  <si>
    <t>61021</t>
  </si>
  <si>
    <t>Tools</t>
  </si>
  <si>
    <t>61022</t>
  </si>
  <si>
    <t>Toner</t>
  </si>
  <si>
    <t>61023</t>
  </si>
  <si>
    <t>Cables and Wires</t>
  </si>
  <si>
    <t>61024</t>
  </si>
  <si>
    <t>Educational Supplies</t>
  </si>
  <si>
    <t>61025</t>
  </si>
  <si>
    <t>Forms</t>
  </si>
  <si>
    <t>61026</t>
  </si>
  <si>
    <t>Meals Non-Travel</t>
  </si>
  <si>
    <t>61027</t>
  </si>
  <si>
    <t>Training Materials</t>
  </si>
  <si>
    <t>61028</t>
  </si>
  <si>
    <t>Custodial Supplies</t>
  </si>
  <si>
    <t>61029</t>
  </si>
  <si>
    <t>Refreshments</t>
  </si>
  <si>
    <t>61030</t>
  </si>
  <si>
    <t>Copier Supplies</t>
  </si>
  <si>
    <t>61031</t>
  </si>
  <si>
    <t>Ticket Purchases-Departments</t>
  </si>
  <si>
    <t>61401</t>
  </si>
  <si>
    <t>In-State Mileage</t>
  </si>
  <si>
    <t>61402</t>
  </si>
  <si>
    <t>In-State Motor Pool Charge</t>
  </si>
  <si>
    <t>61403</t>
  </si>
  <si>
    <t>In-State Transportation</t>
  </si>
  <si>
    <t>61404</t>
  </si>
  <si>
    <t>In-State Lodging</t>
  </si>
  <si>
    <t>61405</t>
  </si>
  <si>
    <t>In-State Meals</t>
  </si>
  <si>
    <t>61406</t>
  </si>
  <si>
    <t>In-State Per Diem</t>
  </si>
  <si>
    <t>61407</t>
  </si>
  <si>
    <t>In St Travel - Vehicle Rental</t>
  </si>
  <si>
    <t>61420</t>
  </si>
  <si>
    <t>Recruit Empl Travel Instate</t>
  </si>
  <si>
    <t>61421</t>
  </si>
  <si>
    <t>Recruit Stdt Travel Instate</t>
  </si>
  <si>
    <t>61422</t>
  </si>
  <si>
    <t>Recruit Athl Travel Instate</t>
  </si>
  <si>
    <t>61440</t>
  </si>
  <si>
    <t>Applicnt (Empl) Travel Instate</t>
  </si>
  <si>
    <t>61441</t>
  </si>
  <si>
    <t>Applicnt (Stdt) Travel Instate</t>
  </si>
  <si>
    <t>61442</t>
  </si>
  <si>
    <t>Applicnt (Athl) Travel Instate</t>
  </si>
  <si>
    <t>65701</t>
  </si>
  <si>
    <t>65711</t>
  </si>
  <si>
    <t>FACS - Negot Rate on Univ MTDC</t>
  </si>
  <si>
    <t>65712</t>
  </si>
  <si>
    <t>FACS - FA Rate Above Spon Cap</t>
  </si>
  <si>
    <t>65713</t>
  </si>
  <si>
    <t>FACS - Required on Spon Costs</t>
  </si>
  <si>
    <t>65714</t>
  </si>
  <si>
    <t>FACS - Agree 1/2 for State</t>
  </si>
  <si>
    <t>65715</t>
  </si>
  <si>
    <t>FACS - Voluntary Above Require</t>
  </si>
  <si>
    <t>Capital Const Proj Fndg</t>
  </si>
  <si>
    <t>Sponsor Costs</t>
  </si>
  <si>
    <t>UNIVERSITY OF MAINE</t>
  </si>
  <si>
    <t>Last</t>
  </si>
  <si>
    <t>Budget Type:</t>
  </si>
  <si>
    <t>PeopleSoft Project #:</t>
  </si>
  <si>
    <t>Account Codes for Senior Personnel Salary</t>
  </si>
  <si>
    <t>Modified</t>
  </si>
  <si>
    <t>Principal Investigator:</t>
  </si>
  <si>
    <t>ORA Submission #:</t>
  </si>
  <si>
    <t>Preparer and Date:</t>
  </si>
  <si>
    <t>ORA Parent Submission #:</t>
  </si>
  <si>
    <t>See Toolbox for more salary account codes and associated fringe types. Regular salary account codes must be followed by "-R" to calculate amounts correctly.</t>
  </si>
  <si>
    <t>Acct Code</t>
  </si>
  <si>
    <t>Class Code</t>
  </si>
  <si>
    <t>PROPOSAL BUDGET</t>
  </si>
  <si>
    <t>Year 1</t>
  </si>
  <si>
    <t>Year 2</t>
  </si>
  <si>
    <t>Year 3</t>
  </si>
  <si>
    <t>Year 4</t>
  </si>
  <si>
    <t>Year 5</t>
  </si>
  <si>
    <t>Total</t>
  </si>
  <si>
    <t>Table -&gt;</t>
  </si>
  <si>
    <t>SENIOR PERSONNEL - list all with salary or cost-shared salary - enter additional below</t>
  </si>
  <si>
    <t>Fringe Rate Type</t>
  </si>
  <si>
    <t>Faculty Summer Salary</t>
  </si>
  <si>
    <t>Initial</t>
  </si>
  <si>
    <t>50100-R</t>
  </si>
  <si>
    <t>Faculty Regular Salary (release time)</t>
  </si>
  <si>
    <t>Continuation</t>
  </si>
  <si>
    <t>51100-R</t>
  </si>
  <si>
    <t>UMPSA</t>
  </si>
  <si>
    <t>Revision</t>
  </si>
  <si>
    <t>51200-R</t>
  </si>
  <si>
    <t>Non-Represented Professionals</t>
  </si>
  <si>
    <t>Supplement</t>
  </si>
  <si>
    <t>Below</t>
  </si>
  <si>
    <t xml:space="preserve">                     Add'l Co-PIs/Sr Personnel (enter below)</t>
  </si>
  <si>
    <t>50200-R</t>
  </si>
  <si>
    <t>Non-Represented Faculty</t>
  </si>
  <si>
    <t>Approved</t>
  </si>
  <si>
    <t>TOTAL SR PERSONNEL SALARIES</t>
  </si>
  <si>
    <t>50400</t>
  </si>
  <si>
    <t>Part-time Faculty</t>
  </si>
  <si>
    <t>Resubmission</t>
  </si>
  <si>
    <t>OTHER PERSONNEL</t>
  </si>
  <si>
    <t>Post Doctoral Associates</t>
  </si>
  <si>
    <t>In FY24, the minimum twelve-month stipend rate on graduate research</t>
  </si>
  <si>
    <t>Other Professionals</t>
  </si>
  <si>
    <t>assistantships is $26,667 (PhD) and $22,667 (Master's).  Higher stipend levels</t>
  </si>
  <si>
    <t>Graduate Students</t>
  </si>
  <si>
    <t>may be proposed to help graduate assistants offset mandatory fees, which</t>
  </si>
  <si>
    <t>Undergraduate Students</t>
  </si>
  <si>
    <t>can exceed $1,000 per year.  Please discuss an appropriate stipend</t>
  </si>
  <si>
    <t>Regular Classified Employees</t>
  </si>
  <si>
    <t xml:space="preserve"> level with your department chair or research unit director.</t>
  </si>
  <si>
    <t>Non-faculty Temp Employees</t>
  </si>
  <si>
    <r>
      <t xml:space="preserve"> </t>
    </r>
    <r>
      <rPr>
        <b/>
        <sz val="12"/>
        <rFont val="Arial"/>
        <family val="2"/>
      </rPr>
      <t>Note:</t>
    </r>
    <r>
      <rPr>
        <sz val="12"/>
        <rFont val="Arial"/>
        <family val="2"/>
      </rPr>
      <t>Up-to-date tuition rates, insurance costs and mandatory fees can be found</t>
    </r>
  </si>
  <si>
    <t>Temp Classified Employees</t>
  </si>
  <si>
    <t xml:space="preserve">on the Graduate School's website or Bursar's Office website.   </t>
  </si>
  <si>
    <t>****</t>
  </si>
  <si>
    <t>Investigators should, if possible, avoid hiring temporary employees to work on sponsored</t>
  </si>
  <si>
    <t xml:space="preserve">                          Total Salaries and Wages</t>
  </si>
  <si>
    <t>projects. Such hires result in administrative costs to the University which, by law, cannot</t>
  </si>
  <si>
    <t>Fringe Benefits - Reg Employees</t>
  </si>
  <si>
    <t>be charged to sponsored awards or used as cost sharing.</t>
  </si>
  <si>
    <t>Fringe Benefits - Temp &amp; Sumr Sal</t>
  </si>
  <si>
    <t>YR1 Fringe</t>
  </si>
  <si>
    <t>YR2 Fringe</t>
  </si>
  <si>
    <t>YR3 Fringe</t>
  </si>
  <si>
    <t>TOTAL SALARIES, WAGES &amp; FRINGE</t>
  </si>
  <si>
    <t>YR4 Fringe</t>
  </si>
  <si>
    <t>YR5 Fringe</t>
  </si>
  <si>
    <t>Total Fringe</t>
  </si>
  <si>
    <t>CAPITAL EQUIPMENT OR CONSTRUCTION - enter additional below</t>
  </si>
  <si>
    <t>Account Codes for Captial Costs - Equipment / Construction</t>
  </si>
  <si>
    <t>62500</t>
  </si>
  <si>
    <t xml:space="preserve"> Capital Equipment - University owned</t>
  </si>
  <si>
    <t xml:space="preserve"> Capital Equipment - Sponsor owned with F&amp;A allowed</t>
  </si>
  <si>
    <t xml:space="preserve">               Add'l Capital Costs (enter below)</t>
  </si>
  <si>
    <t>62301</t>
  </si>
  <si>
    <t>Capital Equipment - Sponsor owned with F&amp;A NOT allowed</t>
  </si>
  <si>
    <t>TOTAL CAPITAL COSTS</t>
  </si>
  <si>
    <t>72800</t>
  </si>
  <si>
    <t>Construction</t>
  </si>
  <si>
    <t>TRAVEL</t>
  </si>
  <si>
    <t>Domestic In-State</t>
  </si>
  <si>
    <t>Domestic Out-of-State</t>
  </si>
  <si>
    <t>Foreign</t>
  </si>
  <si>
    <t>TOTAL TRAVEL</t>
  </si>
  <si>
    <t>PARTICIPANT SUPPORT COSTS</t>
  </si>
  <si>
    <t>Stipends</t>
  </si>
  <si>
    <t xml:space="preserve">Travel </t>
  </si>
  <si>
    <t>Use Account code 60202 for Participant In-State Travel</t>
  </si>
  <si>
    <t>Subsistence</t>
  </si>
  <si>
    <t>TOTAL PARTICIPANT SUPPORT</t>
  </si>
  <si>
    <t>OTHER DIRECT COSTS - enter additional other costs below</t>
  </si>
  <si>
    <t>Materials &amp; Supplies</t>
  </si>
  <si>
    <t>Consultant Services</t>
  </si>
  <si>
    <t>Professional Services</t>
  </si>
  <si>
    <t>Non-Capital Equipment</t>
  </si>
  <si>
    <t>Subrecipients (enter below)</t>
  </si>
  <si>
    <t>Tuition</t>
  </si>
  <si>
    <t>When employing graduate student assistants it is standard to cover tuition</t>
  </si>
  <si>
    <t>Grad Student Health Insurance</t>
  </si>
  <si>
    <t>and mandatory to cover at least one half of the cost of health insurance.</t>
  </si>
  <si>
    <t>Other (enter below)</t>
  </si>
  <si>
    <r>
      <rPr>
        <b/>
        <sz val="12"/>
        <rFont val="Arial"/>
        <family val="2"/>
      </rPr>
      <t>NOTE:</t>
    </r>
    <r>
      <rPr>
        <sz val="12"/>
        <rFont val="Arial"/>
        <family val="2"/>
      </rPr>
      <t xml:space="preserve">  You can request up to the full amount of a graduate assistant's</t>
    </r>
  </si>
  <si>
    <t>TOTAL OTHER DIRECT COSTS</t>
  </si>
  <si>
    <t>health insurance.</t>
  </si>
  <si>
    <t>Total Direct Costs</t>
  </si>
  <si>
    <t>F&amp;A Charged to Sponsor</t>
  </si>
  <si>
    <t>TOTAL CHARGED</t>
  </si>
  <si>
    <t>F&amp;A Cost Sharing (Fund 04)</t>
  </si>
  <si>
    <t>Above Sponsor Cap</t>
  </si>
  <si>
    <t>&lt;----The sections to the left are for categorizing waivers of sponsor F&amp;A costs. If your project will not be charging the full rate to the sponsor, please consult with ORA to complete this section.</t>
  </si>
  <si>
    <t>Required  Cost Sharing</t>
  </si>
  <si>
    <t xml:space="preserve">State Agreement </t>
  </si>
  <si>
    <t>Voluntary Cost Sharing</t>
  </si>
  <si>
    <t>TOTAL FACS</t>
  </si>
  <si>
    <t>Offset of FACS</t>
  </si>
  <si>
    <t>TOTAL F&amp;A (Indirect) COSTS</t>
  </si>
  <si>
    <t>TOTAL PROJECT COSTS</t>
  </si>
  <si>
    <t>Total Sponsor Less Participant Support</t>
  </si>
  <si>
    <t>RATES</t>
  </si>
  <si>
    <t>************* Fringe Benefit and F&amp;A (Indirect Cost) Rates *************</t>
  </si>
  <si>
    <t>FRINGE BENEFIT RATE -- REGULAR</t>
  </si>
  <si>
    <t>FRINGE BENEFIT RATE -- TEMP</t>
  </si>
  <si>
    <t xml:space="preserve">F&amp;A COST RATE     </t>
  </si>
  <si>
    <t>F&amp;A RATE CHARGED</t>
  </si>
  <si>
    <t>Proposal Budget</t>
  </si>
  <si>
    <t>FRINGE BENEFIT DETAIL</t>
  </si>
  <si>
    <t>Total Non-Student Salaries and Wages</t>
  </si>
  <si>
    <t xml:space="preserve"> Total Salaries/Wages Temp Employees</t>
  </si>
  <si>
    <t>Fringe for Regular  Employees</t>
  </si>
  <si>
    <t>Fringe forTemporary Employees</t>
  </si>
  <si>
    <t>Total Fringe Benefits</t>
  </si>
  <si>
    <t>F&amp;A COST DETAIL</t>
  </si>
  <si>
    <t>Less Capital Equipment</t>
  </si>
  <si>
    <t>Less Participant Support Costs</t>
  </si>
  <si>
    <t>Less Tuition</t>
  </si>
  <si>
    <t>Less Subs in Excess $25,000</t>
  </si>
  <si>
    <t xml:space="preserve">Less Other Adjustments, if any </t>
  </si>
  <si>
    <t>Base for F&amp;A Costs</t>
  </si>
  <si>
    <t>ADDITIONAL SENIOR PERSONNEL</t>
  </si>
  <si>
    <t>Part-time Faculty - Temporary</t>
  </si>
  <si>
    <t>Total Add'l Sr Pers Salaries</t>
  </si>
  <si>
    <t xml:space="preserve">ADDITIONAL CAPITAL EQUIPMENT OR CONSTRUCTION </t>
  </si>
  <si>
    <t>Total Additional Capital Costs</t>
  </si>
  <si>
    <t>OTHER DIRECT COSTS NOT SHOWN ABOVE (enter account code in col A, description in col C)</t>
  </si>
  <si>
    <t>Please refer to the ACCOUNT CODES list in the TOOLBOX tab of this workbook for correct codes</t>
  </si>
  <si>
    <t>Publications</t>
  </si>
  <si>
    <t>Total Add'l Other Direct Costs</t>
  </si>
  <si>
    <t>SUBRECIPIENT DETAIL</t>
  </si>
  <si>
    <t>Subrecipient F&amp;A Cost Calculation</t>
  </si>
  <si>
    <t>Subs in Excess of First $25K (60270)</t>
  </si>
  <si>
    <t>Amt Applied to F&amp;A Base this Yr</t>
  </si>
  <si>
    <t>Subrecipient Organization</t>
  </si>
  <si>
    <t>01</t>
  </si>
  <si>
    <t>Less than $25K</t>
  </si>
  <si>
    <t>Greater than $25K</t>
  </si>
  <si>
    <t>02</t>
  </si>
  <si>
    <t>03</t>
  </si>
  <si>
    <t>04</t>
  </si>
  <si>
    <t>05</t>
  </si>
  <si>
    <t>06</t>
  </si>
  <si>
    <t>07</t>
  </si>
  <si>
    <t>Total Subs in Excess of $25,000</t>
  </si>
  <si>
    <t>08</t>
  </si>
  <si>
    <t>09</t>
  </si>
  <si>
    <t>Total Subrecipient Costs</t>
  </si>
  <si>
    <t xml:space="preserve">Please fill out as much information about each Direct Cost Share source as possible. The Department acronym for each source will show up as a separate column on the UMYr1 - UMYr5 tabs. On those tabs, you will be able to break down the budget into various categories and items. The green cells in columns Year 1 through Year 5 pull the total that you have budgeted for each source from the UMYr1 - UMYr5 tabs. The totals are calculated on this tab for your convenience. 
If you have more than 5 sources, please enter the 4 largest amounts in Source 1 – Source 4, and then combine the rest in Source 5 with Dept Acronym as "Other". The "Other" sources details should be added below the table beginning on line A21.
If there is Third Party Cost Share, please enter the name or description in the Descr. Of DCS column. 
If there is Other non-UM cost share, please enter the name or description in the Descr. Of DCS column.
</t>
  </si>
  <si>
    <r>
      <t xml:space="preserve">• </t>
    </r>
    <r>
      <rPr>
        <b/>
        <sz val="10"/>
        <rFont val="Arial"/>
        <family val="2"/>
      </rPr>
      <t>Dept Acronym</t>
    </r>
    <r>
      <rPr>
        <sz val="10"/>
        <rFont val="Arial"/>
        <family val="2"/>
      </rPr>
      <t xml:space="preserve"> – Is the acronym of the Department or Office providing the direct cost share
• </t>
    </r>
    <r>
      <rPr>
        <b/>
        <sz val="10"/>
        <rFont val="Arial"/>
        <family val="2"/>
      </rPr>
      <t>Descr. Of DCS</t>
    </r>
    <r>
      <rPr>
        <sz val="10"/>
        <rFont val="Arial"/>
        <family val="2"/>
      </rPr>
      <t xml:space="preserve"> – The description of the direct cost share should include a succinct summary of what the cost share is or will be used for. (e.g. Smith Salary and Fringe or Tuition Waiver)
• </t>
    </r>
    <r>
      <rPr>
        <b/>
        <sz val="10"/>
        <rFont val="Arial"/>
        <family val="2"/>
      </rPr>
      <t>DCS Admin</t>
    </r>
    <r>
      <rPr>
        <sz val="10"/>
        <rFont val="Arial"/>
        <family val="2"/>
      </rPr>
      <t xml:space="preserve"> – Please enter the name of the Direct Cost Share administrator. (i.e. the person responsible for approving this cost share) 
• </t>
    </r>
    <r>
      <rPr>
        <b/>
        <sz val="10"/>
        <rFont val="Arial"/>
        <family val="2"/>
      </rPr>
      <t>PS Dept</t>
    </r>
    <r>
      <rPr>
        <sz val="10"/>
        <rFont val="Arial"/>
        <family val="2"/>
      </rPr>
      <t xml:space="preserve"> – This column should contain the PeopleSoft Department
• </t>
    </r>
    <r>
      <rPr>
        <b/>
        <sz val="10"/>
        <rFont val="Arial"/>
        <family val="2"/>
      </rPr>
      <t>PS Project</t>
    </r>
    <r>
      <rPr>
        <sz val="10"/>
        <rFont val="Arial"/>
        <family val="2"/>
      </rPr>
      <t xml:space="preserve"> – If there is a PeopleSoft Project associated with this cost share, please enter it in this column
• </t>
    </r>
    <r>
      <rPr>
        <b/>
        <sz val="10"/>
        <rFont val="Arial"/>
        <family val="2"/>
      </rPr>
      <t>PS Program</t>
    </r>
    <r>
      <rPr>
        <sz val="10"/>
        <rFont val="Arial"/>
        <family val="2"/>
      </rPr>
      <t xml:space="preserve"> – Perchance there is a PeopleSoft Program associated with this cost share, enter it here. 
• </t>
    </r>
    <r>
      <rPr>
        <b/>
        <sz val="10"/>
        <rFont val="Arial"/>
        <family val="2"/>
      </rPr>
      <t>PS Fund</t>
    </r>
    <r>
      <rPr>
        <sz val="10"/>
        <rFont val="Arial"/>
        <family val="2"/>
      </rPr>
      <t xml:space="preserve"> – Enter the PeopleSoft Fund Code in this column.  
</t>
    </r>
  </si>
  <si>
    <t>EXAMPLE</t>
  </si>
  <si>
    <t>Dept Acronym</t>
  </si>
  <si>
    <t>Descr. Of DCS</t>
  </si>
  <si>
    <t>DCS Admin</t>
  </si>
  <si>
    <t>PS Dept.</t>
  </si>
  <si>
    <t>PS Project</t>
  </si>
  <si>
    <t xml:space="preserve">PS Program </t>
  </si>
  <si>
    <t>PS Fund</t>
  </si>
  <si>
    <t>Source 1</t>
  </si>
  <si>
    <t>OVPRGS</t>
  </si>
  <si>
    <t>Grad Assistant Stipend</t>
  </si>
  <si>
    <t>Khodadad Varahramyan</t>
  </si>
  <si>
    <t>-</t>
  </si>
  <si>
    <t>00</t>
  </si>
  <si>
    <t>Source 2</t>
  </si>
  <si>
    <t>NBA</t>
  </si>
  <si>
    <t>Smith - Salary</t>
  </si>
  <si>
    <t>Michael Jordan</t>
  </si>
  <si>
    <t>Direct Cost Share Sources</t>
  </si>
  <si>
    <t>PS Dept</t>
  </si>
  <si>
    <t>Source 3</t>
  </si>
  <si>
    <t>Source 4</t>
  </si>
  <si>
    <t>Source 5</t>
  </si>
  <si>
    <t>Third Party</t>
  </si>
  <si>
    <t>&lt;- Cost Share Total</t>
  </si>
  <si>
    <t>Additional Sources</t>
  </si>
  <si>
    <t>Source 6</t>
  </si>
  <si>
    <t>Source 7</t>
  </si>
  <si>
    <t>Etc.</t>
  </si>
  <si>
    <t>YEAR 1</t>
  </si>
  <si>
    <t>People Soft Project #:</t>
  </si>
  <si>
    <t>Cumulative All Budget Years (not printed)</t>
  </si>
  <si>
    <t>Submission #:</t>
  </si>
  <si>
    <t>Preparer:</t>
  </si>
  <si>
    <t>Parent Submission#:</t>
  </si>
  <si>
    <t>University of Maine Cost Share Commitment</t>
  </si>
  <si>
    <t>Total Spon+UM</t>
  </si>
  <si>
    <t>Other Sources*</t>
  </si>
  <si>
    <t>Total Project</t>
  </si>
  <si>
    <t>Sponsor</t>
  </si>
  <si>
    <t>UMaine</t>
  </si>
  <si>
    <t>Total UM</t>
  </si>
  <si>
    <t>3rd Party</t>
  </si>
  <si>
    <t>SENIOR PERSONNEL - names and account codes must be entered in Sponsor tab</t>
  </si>
  <si>
    <t>OTHER PERSONNEL - account codes must be entered in Sponsor tab</t>
  </si>
  <si>
    <t>Fringe Benefits - Temp / Sum Sal</t>
  </si>
  <si>
    <t>CAPITAL EQUIPMENT OR CONSTRUCTION - descriptions and account codes must be entered in Sponsor tab</t>
  </si>
  <si>
    <t>TRAVEL - account codes must be entered in Sponsor tab</t>
  </si>
  <si>
    <t>PARTICIPANT SUPPORT COSTS - account codes must be entered in Sponsor tab</t>
  </si>
  <si>
    <t>Travel (out of state)</t>
  </si>
  <si>
    <t>OTHER DIRECT COSTS - account codes must be entered in Sponsor tab</t>
  </si>
  <si>
    <t>TOTAL DIRECT COSTS</t>
  </si>
  <si>
    <t>UM  F&amp;A on Direct Costs</t>
  </si>
  <si>
    <t>NA</t>
  </si>
  <si>
    <t xml:space="preserve">Total  F&amp;A Waiver (FACS) </t>
  </si>
  <si>
    <t>Total F&amp;A Charged</t>
  </si>
  <si>
    <t xml:space="preserve">UM  F&amp;A Offset </t>
  </si>
  <si>
    <t>Total Less Participant Support</t>
  </si>
  <si>
    <t>*Letters of commitment, signed by an authorized organizational representative, are required from each organization providing "Other Sources" amounts.</t>
  </si>
  <si>
    <t>F&amp;A RATE     On-Campus</t>
  </si>
  <si>
    <t>Dept E&amp;G</t>
  </si>
  <si>
    <t>Dept MEIF</t>
  </si>
  <si>
    <t>VP MEIF</t>
  </si>
  <si>
    <t>College</t>
  </si>
  <si>
    <t>Basis for F&amp;A</t>
  </si>
  <si>
    <t xml:space="preserve">ENTER (minus) Other Adjustments, if any </t>
  </si>
  <si>
    <t>ADDITIONAL SENIOR PERSONNEL - names and account codes must be entered in Sponsor tab</t>
  </si>
  <si>
    <t>Total Additional Sr Pers Salaries</t>
  </si>
  <si>
    <t>ADDITIONAL CAPITAL EQUIPMENT OR CONSTRUCTION - descriptions and account codes must be entered in Sponsor tab</t>
  </si>
  <si>
    <t>Total Additional Captial Costs</t>
  </si>
  <si>
    <t>OTHER DIRECT COSTS - descriptions and account codes must be entered in Sponsor tab</t>
  </si>
  <si>
    <t>Subrecipient F&amp;A Cost Calculation Cost Sharing</t>
  </si>
  <si>
    <t>Amt Applied to F&amp;A Base this Yr (60250)</t>
  </si>
  <si>
    <t>SUBRECIPIENT DETAIL - Subrecipient organizations and account codes must be entered in Sponsor tab</t>
  </si>
  <si>
    <t>N/A</t>
  </si>
  <si>
    <t>YEAR 2</t>
  </si>
  <si>
    <t>Base for F&amp;A -- Enter "MTDC OR TDC"</t>
  </si>
  <si>
    <t>YEAR 3</t>
  </si>
  <si>
    <t>Total Less Partcipant Support</t>
  </si>
  <si>
    <t>YEAR 4</t>
  </si>
  <si>
    <t>INDIRECT COST DETAIL</t>
  </si>
  <si>
    <t>YEAR 5</t>
  </si>
  <si>
    <t>CUMULATIVE</t>
  </si>
  <si>
    <t>Account Code</t>
  </si>
  <si>
    <t>SENIOR PERSONNEL</t>
  </si>
  <si>
    <t xml:space="preserve">                     Additional Co-PIs/Sr Personnel</t>
  </si>
  <si>
    <t>Fringe Benefits - Temp Employees</t>
  </si>
  <si>
    <t>CAPITAL EQUIPMENT OR CONSTRUCTION</t>
  </si>
  <si>
    <t xml:space="preserve">               Add'l Capital Costs</t>
  </si>
  <si>
    <t>Travel</t>
  </si>
  <si>
    <t>OTHER DIRECT COSTS</t>
  </si>
  <si>
    <t>Subrecipients</t>
  </si>
  <si>
    <t>F&amp;A (Indirect) Costs Charged</t>
  </si>
  <si>
    <t>RATES Year 1</t>
  </si>
  <si>
    <t>FRINGE BENEFIT RATE -- TEMP EMPL</t>
  </si>
  <si>
    <t>ADDITIONAL CAPITAL EQUIPMENT OR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</si>
</sst>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m/d/yy\ h:mm\ AM/PM"/>
    <numFmt numFmtId="166" formatCode="0.0%"/>
    <numFmt numFmtId="167" formatCode="_(* #,##0.000_);_(* \(#,##0.000\);_(* &quot;-&quot;???_);_(@_)"/>
    <numFmt numFmtId="168" formatCode="0.00000"/>
  </numFmts>
  <fonts count="33">
    <font>
      <sz val="10"/>
      <name val="Arial"/>
    </font>
    <font>
      <b/>
      <sz val="10"/>
      <name val="Arial"/>
      <family val="2"/>
    </font>
    <font>
      <sz val="10"/>
      <name val="Arial"/>
      <family val="2"/>
    </font>
    <font>
      <u/>
      <sz val="7.5"/>
      <color indexed="12"/>
      <name val="Arial"/>
      <family val="2"/>
    </font>
    <font>
      <sz val="9"/>
      <name val="Arial"/>
      <family val="2"/>
    </font>
    <font>
      <b/>
      <sz val="12"/>
      <name val="Arial"/>
      <family val="2"/>
    </font>
    <font>
      <sz val="12"/>
      <name val="Arial"/>
      <family val="2"/>
    </font>
    <font>
      <sz val="8"/>
      <name val="Arial"/>
      <family val="2"/>
    </font>
    <font>
      <b/>
      <sz val="11"/>
      <color indexed="10"/>
      <name val="Century Gothic"/>
      <family val="2"/>
    </font>
    <font>
      <b/>
      <sz val="11"/>
      <name val="Arial"/>
      <family val="2"/>
    </font>
    <font>
      <sz val="11"/>
      <name val="Arial"/>
      <family val="2"/>
    </font>
    <font>
      <sz val="10"/>
      <color indexed="9"/>
      <name val="Arial"/>
      <family val="2"/>
    </font>
    <font>
      <sz val="8"/>
      <name val="Arial"/>
      <family val="2"/>
    </font>
    <font>
      <b/>
      <sz val="10"/>
      <name val="Arial Unicode MS"/>
      <family val="2"/>
    </font>
    <font>
      <sz val="10"/>
      <name val="Arial Unicode MS"/>
      <family val="2"/>
    </font>
    <font>
      <b/>
      <sz val="16"/>
      <name val="Arial"/>
      <family val="2"/>
    </font>
    <font>
      <b/>
      <sz val="14"/>
      <name val="Arial"/>
      <family val="2"/>
    </font>
    <font>
      <sz val="14"/>
      <name val="Arial"/>
      <family val="2"/>
    </font>
    <font>
      <i/>
      <sz val="10"/>
      <name val="Arial"/>
      <family val="2"/>
    </font>
    <font>
      <b/>
      <sz val="8"/>
      <name val="Microsoft Sans Serif"/>
      <family val="2"/>
    </font>
    <font>
      <i/>
      <sz val="10"/>
      <color theme="0" tint="-0.499984740745262"/>
      <name val="Arial"/>
      <family val="2"/>
    </font>
    <font>
      <sz val="14"/>
      <color rgb="FFFF0000"/>
      <name val="Arial"/>
      <family val="2"/>
    </font>
    <font>
      <sz val="12"/>
      <color theme="1"/>
      <name val="Arial"/>
      <family val="2"/>
    </font>
    <font>
      <sz val="9"/>
      <name val="MS Sans Serif"/>
      <family val="2"/>
    </font>
    <font>
      <b/>
      <u/>
      <sz val="9"/>
      <color indexed="12"/>
      <name val="Arial"/>
      <family val="2"/>
    </font>
    <font>
      <b/>
      <sz val="9"/>
      <color rgb="FFFF0000"/>
      <name val="Arial"/>
      <family val="2"/>
    </font>
    <font>
      <b/>
      <sz val="9"/>
      <name val="Arial"/>
      <family val="2"/>
    </font>
    <font>
      <b/>
      <u/>
      <sz val="9"/>
      <color rgb="FF0000FF"/>
      <name val="Arial"/>
      <family val="2"/>
    </font>
    <font>
      <sz val="9"/>
      <color indexed="81"/>
      <name val="Tahoma"/>
      <family val="2"/>
    </font>
    <font>
      <b/>
      <sz val="9"/>
      <color indexed="81"/>
      <name val="Tahoma"/>
      <family val="2"/>
    </font>
    <font>
      <b/>
      <u/>
      <sz val="14"/>
      <name val="Arial"/>
      <family val="2"/>
    </font>
    <font>
      <sz val="10"/>
      <color rgb="FFFF0000"/>
      <name val="Arial"/>
      <family val="2"/>
    </font>
    <font>
      <sz val="20"/>
      <color theme="0"/>
      <name val="Arial"/>
      <family val="2"/>
    </font>
  </fonts>
  <fills count="2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39994506668294322"/>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99"/>
        <bgColor indexed="64"/>
      </patternFill>
    </fill>
    <fill>
      <patternFill patternType="solid">
        <fgColor rgb="FFFACC99"/>
        <bgColor indexed="64"/>
      </patternFill>
    </fill>
    <fill>
      <patternFill patternType="solid">
        <fgColor theme="0"/>
        <bgColor indexed="64"/>
      </patternFill>
    </fill>
    <fill>
      <patternFill patternType="solid">
        <fgColor rgb="FFB2CCEC"/>
        <bgColor indexed="64"/>
      </patternFill>
    </fill>
    <fill>
      <patternFill patternType="solid">
        <fgColor theme="9" tint="0.59996337778862885"/>
        <bgColor indexed="64"/>
      </patternFill>
    </fill>
    <fill>
      <patternFill patternType="solid">
        <fgColor rgb="FF28D5F8"/>
        <bgColor indexed="64"/>
      </patternFill>
    </fill>
    <fill>
      <patternFill patternType="solid">
        <fgColor rgb="FFFFFF00"/>
        <bgColor indexed="64"/>
      </patternFill>
    </fill>
    <fill>
      <patternFill patternType="solid">
        <fgColor theme="1" tint="0.249977111117893"/>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0" tint="-0.14999847407452621"/>
        <bgColor indexed="64"/>
      </patternFill>
    </fill>
  </fills>
  <borders count="103">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thick">
        <color indexed="64"/>
      </bottom>
      <diagonal/>
    </border>
    <border>
      <left/>
      <right style="thin">
        <color indexed="64"/>
      </right>
      <top/>
      <bottom style="thick">
        <color indexed="64"/>
      </bottom>
      <diagonal/>
    </border>
    <border>
      <left/>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ck">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ck">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ck">
        <color indexed="64"/>
      </bottom>
      <diagonal/>
    </border>
    <border>
      <left style="thin">
        <color indexed="8"/>
      </left>
      <right style="thin">
        <color indexed="8"/>
      </right>
      <top style="thin">
        <color indexed="8"/>
      </top>
      <bottom style="thin">
        <color indexed="8"/>
      </bottom>
      <diagonal/>
    </border>
    <border>
      <left/>
      <right style="medium">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medium">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64"/>
      </left>
      <right/>
      <top style="thick">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top/>
      <bottom style="thin">
        <color theme="0" tint="-0.14996795556505021"/>
      </bottom>
      <diagonal/>
    </border>
    <border>
      <left style="thin">
        <color indexed="64"/>
      </left>
      <right/>
      <top style="thin">
        <color theme="0" tint="-0.14996795556505021"/>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style="medium">
        <color indexed="64"/>
      </right>
      <top style="thin">
        <color theme="0" tint="-0.14996795556505021"/>
      </top>
      <bottom/>
      <diagonal/>
    </border>
    <border>
      <left style="thin">
        <color indexed="64"/>
      </left>
      <right style="medium">
        <color indexed="64"/>
      </right>
      <top style="thin">
        <color theme="0" tint="-0.14996795556505021"/>
      </top>
      <bottom style="thin">
        <color theme="0" tint="-0.14996795556505021"/>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top style="thin">
        <color theme="0"/>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6">
    <xf numFmtId="0" fontId="0"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cellStyleXfs>
  <cellXfs count="1073">
    <xf numFmtId="0" fontId="0" fillId="0" borderId="0" xfId="0"/>
    <xf numFmtId="49" fontId="0" fillId="0" borderId="3" xfId="0" applyNumberFormat="1" applyBorder="1" applyProtection="1">
      <protection locked="0"/>
    </xf>
    <xf numFmtId="0" fontId="0" fillId="0" borderId="4" xfId="0" applyBorder="1" applyProtection="1">
      <protection locked="0"/>
    </xf>
    <xf numFmtId="0" fontId="0" fillId="0" borderId="3" xfId="0" applyBorder="1" applyProtection="1">
      <protection locked="0"/>
    </xf>
    <xf numFmtId="0" fontId="0" fillId="0" borderId="5" xfId="0" applyBorder="1" applyAlignment="1" applyProtection="1">
      <alignment horizontal="right"/>
      <protection locked="0"/>
    </xf>
    <xf numFmtId="0" fontId="0" fillId="0" borderId="2" xfId="0" applyBorder="1" applyAlignment="1">
      <alignment horizontal="center"/>
    </xf>
    <xf numFmtId="0" fontId="0" fillId="2" borderId="6" xfId="0" applyFill="1" applyBorder="1"/>
    <xf numFmtId="41" fontId="0" fillId="0" borderId="8" xfId="0" applyNumberFormat="1" applyBorder="1" applyProtection="1">
      <protection locked="0"/>
    </xf>
    <xf numFmtId="41" fontId="0" fillId="0" borderId="0" xfId="0" applyNumberFormat="1" applyProtection="1">
      <protection locked="0"/>
    </xf>
    <xf numFmtId="41" fontId="2" fillId="0" borderId="0" xfId="0" applyNumberFormat="1" applyFont="1" applyProtection="1">
      <protection locked="0"/>
    </xf>
    <xf numFmtId="41" fontId="2" fillId="0" borderId="2" xfId="0" applyNumberFormat="1" applyFont="1" applyBorder="1" applyProtection="1">
      <protection locked="0"/>
    </xf>
    <xf numFmtId="41" fontId="0" fillId="3" borderId="3" xfId="0" applyNumberFormat="1" applyFill="1" applyBorder="1"/>
    <xf numFmtId="41" fontId="2" fillId="0" borderId="1" xfId="0" applyNumberFormat="1" applyFont="1" applyBorder="1" applyProtection="1">
      <protection locked="0"/>
    </xf>
    <xf numFmtId="41" fontId="2" fillId="0" borderId="8" xfId="0" applyNumberFormat="1" applyFont="1" applyBorder="1" applyProtection="1">
      <protection locked="0"/>
    </xf>
    <xf numFmtId="0" fontId="1" fillId="2" borderId="11" xfId="0" applyFont="1" applyFill="1" applyBorder="1"/>
    <xf numFmtId="0" fontId="1" fillId="2" borderId="11" xfId="0" applyFont="1" applyFill="1" applyBorder="1" applyAlignment="1">
      <alignment horizontal="left"/>
    </xf>
    <xf numFmtId="164" fontId="0" fillId="2" borderId="8" xfId="0" applyNumberFormat="1" applyFill="1" applyBorder="1" applyProtection="1">
      <protection locked="0"/>
    </xf>
    <xf numFmtId="164" fontId="0" fillId="2" borderId="0" xfId="0" applyNumberFormat="1" applyFill="1" applyProtection="1">
      <protection locked="0"/>
    </xf>
    <xf numFmtId="0" fontId="0" fillId="2" borderId="10" xfId="0" applyFill="1" applyBorder="1"/>
    <xf numFmtId="0" fontId="0" fillId="2" borderId="1" xfId="0" applyFill="1" applyBorder="1" applyAlignment="1">
      <alignment horizontal="center" wrapText="1"/>
    </xf>
    <xf numFmtId="0" fontId="0" fillId="2" borderId="4" xfId="0" applyFill="1" applyBorder="1" applyAlignment="1">
      <alignment horizontal="center" wrapText="1"/>
    </xf>
    <xf numFmtId="0" fontId="1" fillId="2" borderId="2" xfId="0" applyFont="1" applyFill="1" applyBorder="1" applyAlignment="1">
      <alignment horizontal="right"/>
    </xf>
    <xf numFmtId="0" fontId="1" fillId="0" borderId="12" xfId="0" applyFont="1" applyBorder="1" applyAlignment="1">
      <alignment horizontal="right"/>
    </xf>
    <xf numFmtId="41" fontId="2" fillId="3" borderId="0" xfId="0" applyNumberFormat="1" applyFont="1" applyFill="1"/>
    <xf numFmtId="41" fontId="2" fillId="3" borderId="9" xfId="0" applyNumberFormat="1" applyFont="1" applyFill="1" applyBorder="1"/>
    <xf numFmtId="41" fontId="2" fillId="3" borderId="10" xfId="0" applyNumberFormat="1" applyFont="1" applyFill="1" applyBorder="1"/>
    <xf numFmtId="41" fontId="2" fillId="3" borderId="5" xfId="0" applyNumberFormat="1" applyFont="1" applyFill="1" applyBorder="1"/>
    <xf numFmtId="0" fontId="0" fillId="0" borderId="3" xfId="0" applyBorder="1"/>
    <xf numFmtId="0" fontId="0" fillId="2" borderId="16" xfId="0" applyFill="1" applyBorder="1"/>
    <xf numFmtId="41" fontId="0" fillId="3" borderId="8" xfId="0" applyNumberFormat="1" applyFill="1" applyBorder="1"/>
    <xf numFmtId="41" fontId="0" fillId="3" borderId="9" xfId="0" applyNumberFormat="1" applyFill="1" applyBorder="1"/>
    <xf numFmtId="41" fontId="0" fillId="3" borderId="0" xfId="0" applyNumberFormat="1" applyFill="1"/>
    <xf numFmtId="41" fontId="0" fillId="3" borderId="10" xfId="0" applyNumberFormat="1" applyFill="1" applyBorder="1"/>
    <xf numFmtId="41" fontId="2" fillId="3" borderId="2" xfId="0" applyNumberFormat="1" applyFont="1" applyFill="1" applyBorder="1"/>
    <xf numFmtId="41" fontId="2" fillId="3" borderId="6" xfId="0" applyNumberFormat="1" applyFont="1" applyFill="1" applyBorder="1"/>
    <xf numFmtId="41" fontId="2" fillId="3" borderId="12" xfId="0" applyNumberFormat="1" applyFont="1" applyFill="1" applyBorder="1"/>
    <xf numFmtId="49" fontId="0" fillId="0" borderId="4" xfId="0" applyNumberFormat="1" applyBorder="1"/>
    <xf numFmtId="49" fontId="0" fillId="0" borderId="3" xfId="0" applyNumberFormat="1" applyBorder="1"/>
    <xf numFmtId="49" fontId="0" fillId="0" borderId="3" xfId="0" applyNumberFormat="1" applyBorder="1" applyAlignment="1">
      <alignment horizontal="right"/>
    </xf>
    <xf numFmtId="0" fontId="0" fillId="0" borderId="4" xfId="0" applyBorder="1"/>
    <xf numFmtId="41" fontId="2" fillId="3" borderId="8" xfId="0" applyNumberFormat="1" applyFont="1" applyFill="1" applyBorder="1"/>
    <xf numFmtId="41" fontId="0" fillId="3" borderId="5" xfId="0" applyNumberFormat="1" applyFill="1" applyBorder="1"/>
    <xf numFmtId="41" fontId="0" fillId="3" borderId="6" xfId="0" applyNumberFormat="1" applyFill="1" applyBorder="1"/>
    <xf numFmtId="41" fontId="0" fillId="3" borderId="3" xfId="0" applyNumberFormat="1" applyFill="1" applyBorder="1" applyAlignment="1">
      <alignment horizontal="center"/>
    </xf>
    <xf numFmtId="41" fontId="2" fillId="3" borderId="17" xfId="0" applyNumberFormat="1" applyFont="1" applyFill="1" applyBorder="1"/>
    <xf numFmtId="41" fontId="2" fillId="3" borderId="18" xfId="0" applyNumberFormat="1" applyFont="1" applyFill="1" applyBorder="1"/>
    <xf numFmtId="0" fontId="0" fillId="0" borderId="3" xfId="0" applyBorder="1" applyAlignment="1">
      <alignment horizontal="left"/>
    </xf>
    <xf numFmtId="41" fontId="2" fillId="3" borderId="19" xfId="0" applyNumberFormat="1" applyFont="1" applyFill="1" applyBorder="1"/>
    <xf numFmtId="164" fontId="0" fillId="2" borderId="1" xfId="0" applyNumberFormat="1" applyFill="1" applyBorder="1"/>
    <xf numFmtId="164" fontId="0" fillId="2" borderId="8" xfId="0" applyNumberFormat="1" applyFill="1" applyBorder="1"/>
    <xf numFmtId="0" fontId="0" fillId="2" borderId="4" xfId="0" applyFill="1" applyBorder="1"/>
    <xf numFmtId="164" fontId="0" fillId="2" borderId="4" xfId="0" applyNumberFormat="1" applyFill="1" applyBorder="1"/>
    <xf numFmtId="164" fontId="0" fillId="2" borderId="2" xfId="0" applyNumberFormat="1" applyFill="1" applyBorder="1"/>
    <xf numFmtId="164" fontId="0" fillId="2" borderId="0" xfId="0" applyNumberFormat="1" applyFill="1"/>
    <xf numFmtId="0" fontId="0" fillId="2" borderId="3" xfId="0" applyFill="1" applyBorder="1"/>
    <xf numFmtId="164" fontId="0" fillId="2" borderId="3" xfId="0" applyNumberFormat="1" applyFill="1" applyBorder="1"/>
    <xf numFmtId="164" fontId="0" fillId="2" borderId="0" xfId="0" applyNumberFormat="1" applyFill="1" applyAlignment="1">
      <alignment horizontal="right" vertical="center"/>
    </xf>
    <xf numFmtId="0" fontId="0" fillId="2" borderId="0" xfId="0" applyFill="1"/>
    <xf numFmtId="164" fontId="0" fillId="2" borderId="12" xfId="0" applyNumberFormat="1" applyFill="1" applyBorder="1"/>
    <xf numFmtId="0" fontId="0" fillId="2" borderId="7" xfId="0" applyFill="1" applyBorder="1"/>
    <xf numFmtId="41" fontId="2" fillId="3" borderId="16" xfId="0" applyNumberFormat="1" applyFont="1" applyFill="1" applyBorder="1"/>
    <xf numFmtId="41" fontId="2" fillId="3" borderId="20" xfId="0" applyNumberFormat="1" applyFont="1" applyFill="1" applyBorder="1"/>
    <xf numFmtId="41" fontId="2" fillId="3" borderId="1" xfId="0" applyNumberFormat="1" applyFont="1" applyFill="1" applyBorder="1"/>
    <xf numFmtId="0" fontId="1" fillId="0" borderId="0" xfId="0" applyFont="1"/>
    <xf numFmtId="41" fontId="0" fillId="0" borderId="1" xfId="0" applyNumberFormat="1" applyBorder="1" applyProtection="1">
      <protection locked="0"/>
    </xf>
    <xf numFmtId="41" fontId="0" fillId="0" borderId="2" xfId="0" applyNumberFormat="1" applyBorder="1" applyProtection="1">
      <protection locked="0"/>
    </xf>
    <xf numFmtId="41" fontId="0" fillId="0" borderId="5" xfId="0" applyNumberFormat="1" applyBorder="1" applyProtection="1">
      <protection locked="0"/>
    </xf>
    <xf numFmtId="41" fontId="0" fillId="2" borderId="0" xfId="0" applyNumberFormat="1" applyFill="1" applyProtection="1">
      <protection locked="0"/>
    </xf>
    <xf numFmtId="164" fontId="0" fillId="2" borderId="6" xfId="0" applyNumberFormat="1" applyFill="1" applyBorder="1" applyProtection="1">
      <protection locked="0"/>
    </xf>
    <xf numFmtId="41" fontId="0" fillId="3" borderId="10" xfId="0" applyNumberFormat="1" applyFill="1" applyBorder="1" applyAlignment="1">
      <alignment horizontal="center"/>
    </xf>
    <xf numFmtId="0" fontId="0" fillId="0" borderId="7" xfId="0" applyBorder="1" applyProtection="1">
      <protection locked="0"/>
    </xf>
    <xf numFmtId="41" fontId="2" fillId="3" borderId="23" xfId="0" applyNumberFormat="1" applyFont="1" applyFill="1" applyBorder="1"/>
    <xf numFmtId="41" fontId="0" fillId="3" borderId="23" xfId="0" applyNumberFormat="1" applyFill="1" applyBorder="1"/>
    <xf numFmtId="0" fontId="1" fillId="2" borderId="24" xfId="0" applyFont="1" applyFill="1" applyBorder="1"/>
    <xf numFmtId="0" fontId="1" fillId="2" borderId="24" xfId="0" applyFont="1" applyFill="1" applyBorder="1" applyAlignment="1">
      <alignment horizontal="left"/>
    </xf>
    <xf numFmtId="41" fontId="0" fillId="3" borderId="14" xfId="0" applyNumberFormat="1" applyFill="1" applyBorder="1"/>
    <xf numFmtId="41" fontId="0" fillId="3" borderId="25" xfId="0" applyNumberFormat="1" applyFill="1" applyBorder="1"/>
    <xf numFmtId="41" fontId="0" fillId="3" borderId="26" xfId="0" applyNumberFormat="1" applyFill="1" applyBorder="1"/>
    <xf numFmtId="41" fontId="0" fillId="3" borderId="27" xfId="0" applyNumberFormat="1" applyFill="1" applyBorder="1"/>
    <xf numFmtId="41" fontId="2" fillId="3" borderId="25" xfId="0" applyNumberFormat="1" applyFont="1" applyFill="1" applyBorder="1"/>
    <xf numFmtId="41" fontId="2" fillId="3" borderId="14" xfId="0" applyNumberFormat="1" applyFont="1" applyFill="1" applyBorder="1"/>
    <xf numFmtId="0" fontId="0" fillId="0" borderId="5" xfId="0" applyBorder="1" applyAlignment="1" applyProtection="1">
      <alignment horizontal="center"/>
      <protection locked="0"/>
    </xf>
    <xf numFmtId="0" fontId="1" fillId="2" borderId="16" xfId="0" applyFont="1" applyFill="1" applyBorder="1"/>
    <xf numFmtId="0" fontId="1" fillId="2" borderId="28" xfId="0" applyFont="1" applyFill="1" applyBorder="1"/>
    <xf numFmtId="0" fontId="1" fillId="2" borderId="28" xfId="0" applyFont="1" applyFill="1" applyBorder="1" applyAlignment="1">
      <alignment horizontal="left"/>
    </xf>
    <xf numFmtId="0" fontId="0" fillId="3" borderId="20" xfId="0" applyFill="1" applyBorder="1" applyAlignment="1">
      <alignment horizontal="center"/>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0" xfId="0" applyProtection="1">
      <protection locked="0"/>
    </xf>
    <xf numFmtId="164" fontId="0" fillId="0" borderId="0" xfId="0" applyNumberFormat="1"/>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0" fillId="0" borderId="7" xfId="0" applyBorder="1" applyAlignment="1" applyProtection="1">
      <alignment horizontal="center"/>
      <protection locked="0"/>
    </xf>
    <xf numFmtId="41" fontId="0" fillId="7" borderId="11" xfId="0" applyNumberFormat="1" applyFill="1" applyBorder="1"/>
    <xf numFmtId="41" fontId="0" fillId="3" borderId="29" xfId="0" applyNumberFormat="1" applyFill="1" applyBorder="1"/>
    <xf numFmtId="41" fontId="0" fillId="0" borderId="12" xfId="0" applyNumberFormat="1" applyBorder="1" applyProtection="1">
      <protection locked="0"/>
    </xf>
    <xf numFmtId="0" fontId="2" fillId="0" borderId="30" xfId="0" applyFont="1" applyBorder="1" applyAlignment="1" applyProtection="1">
      <alignment horizontal="right"/>
      <protection locked="0"/>
    </xf>
    <xf numFmtId="41" fontId="0" fillId="0" borderId="31" xfId="0" applyNumberFormat="1" applyBorder="1" applyProtection="1">
      <protection locked="0"/>
    </xf>
    <xf numFmtId="41" fontId="0" fillId="0" borderId="30" xfId="0" applyNumberFormat="1" applyBorder="1" applyProtection="1">
      <protection locked="0"/>
    </xf>
    <xf numFmtId="41" fontId="0" fillId="7" borderId="32" xfId="0" applyNumberFormat="1" applyFill="1" applyBorder="1"/>
    <xf numFmtId="41" fontId="0" fillId="7" borderId="23" xfId="0" applyNumberFormat="1" applyFill="1" applyBorder="1"/>
    <xf numFmtId="0" fontId="0" fillId="0" borderId="30" xfId="0" applyBorder="1" applyAlignment="1" applyProtection="1">
      <alignment horizontal="right"/>
      <protection locked="0"/>
    </xf>
    <xf numFmtId="0" fontId="0" fillId="8" borderId="3" xfId="0" applyFill="1" applyBorder="1" applyAlignment="1">
      <alignment horizontal="right"/>
    </xf>
    <xf numFmtId="41" fontId="0" fillId="0" borderId="30" xfId="0" applyNumberFormat="1" applyBorder="1" applyAlignment="1" applyProtection="1">
      <alignment horizontal="center" vertical="center"/>
      <protection locked="0"/>
    </xf>
    <xf numFmtId="41" fontId="0" fillId="7" borderId="23" xfId="0" applyNumberFormat="1" applyFill="1" applyBorder="1" applyAlignment="1">
      <alignment horizontal="center" vertical="center"/>
    </xf>
    <xf numFmtId="41" fontId="0" fillId="7" borderId="9" xfId="0" applyNumberFormat="1" applyFill="1" applyBorder="1"/>
    <xf numFmtId="41" fontId="0" fillId="7" borderId="10" xfId="0" applyNumberFormat="1" applyFill="1" applyBorder="1"/>
    <xf numFmtId="41" fontId="2" fillId="7" borderId="9" xfId="0" applyNumberFormat="1" applyFont="1" applyFill="1" applyBorder="1"/>
    <xf numFmtId="41" fontId="2" fillId="7" borderId="10" xfId="0" applyNumberFormat="1" applyFont="1" applyFill="1" applyBorder="1"/>
    <xf numFmtId="0" fontId="2" fillId="8" borderId="3" xfId="0" applyFont="1" applyFill="1" applyBorder="1" applyAlignment="1">
      <alignment horizontal="right"/>
    </xf>
    <xf numFmtId="0" fontId="2" fillId="8" borderId="33" xfId="0" applyFont="1" applyFill="1" applyBorder="1" applyAlignment="1">
      <alignment horizontal="right"/>
    </xf>
    <xf numFmtId="41" fontId="0" fillId="7" borderId="2" xfId="0" applyNumberFormat="1" applyFill="1" applyBorder="1"/>
    <xf numFmtId="41" fontId="0" fillId="7" borderId="0" xfId="0" applyNumberFormat="1" applyFill="1"/>
    <xf numFmtId="41" fontId="0" fillId="7" borderId="3" xfId="0" applyNumberFormat="1" applyFill="1" applyBorder="1"/>
    <xf numFmtId="41" fontId="2" fillId="7" borderId="0" xfId="0" applyNumberFormat="1" applyFont="1" applyFill="1"/>
    <xf numFmtId="0" fontId="0" fillId="8" borderId="1" xfId="0" applyFill="1" applyBorder="1" applyAlignment="1">
      <alignment horizontal="center"/>
    </xf>
    <xf numFmtId="0" fontId="0" fillId="8" borderId="2" xfId="0" applyFill="1" applyBorder="1" applyAlignment="1">
      <alignment horizontal="center"/>
    </xf>
    <xf numFmtId="0" fontId="0" fillId="8" borderId="12" xfId="0" applyFill="1" applyBorder="1" applyAlignment="1">
      <alignment horizontal="center"/>
    </xf>
    <xf numFmtId="41" fontId="0" fillId="7" borderId="1" xfId="0" applyNumberFormat="1" applyFill="1" applyBorder="1"/>
    <xf numFmtId="41" fontId="0" fillId="7" borderId="8" xfId="0" applyNumberFormat="1" applyFill="1" applyBorder="1"/>
    <xf numFmtId="164" fontId="0" fillId="7" borderId="8" xfId="0" applyNumberFormat="1" applyFill="1" applyBorder="1"/>
    <xf numFmtId="164" fontId="0" fillId="7" borderId="0" xfId="0" applyNumberFormat="1" applyFill="1"/>
    <xf numFmtId="164" fontId="0" fillId="7" borderId="12" xfId="0" applyNumberFormat="1" applyFill="1" applyBorder="1"/>
    <xf numFmtId="41" fontId="2" fillId="7" borderId="0" xfId="0" applyNumberFormat="1" applyFont="1" applyFill="1" applyAlignment="1">
      <alignment horizontal="center"/>
    </xf>
    <xf numFmtId="41" fontId="0" fillId="8" borderId="86" xfId="0" applyNumberFormat="1" applyFill="1" applyBorder="1"/>
    <xf numFmtId="41" fontId="0" fillId="8" borderId="87" xfId="0" applyNumberFormat="1" applyFill="1" applyBorder="1"/>
    <xf numFmtId="41" fontId="0" fillId="8" borderId="88" xfId="0" applyNumberFormat="1" applyFill="1" applyBorder="1"/>
    <xf numFmtId="41" fontId="0" fillId="8" borderId="89" xfId="0" applyNumberFormat="1" applyFill="1" applyBorder="1"/>
    <xf numFmtId="41" fontId="0" fillId="7" borderId="34" xfId="0" applyNumberFormat="1" applyFill="1" applyBorder="1"/>
    <xf numFmtId="41" fontId="0" fillId="7" borderId="0" xfId="0" applyNumberFormat="1" applyFill="1" applyAlignment="1">
      <alignment horizontal="center"/>
    </xf>
    <xf numFmtId="41" fontId="2" fillId="7" borderId="5" xfId="0" applyNumberFormat="1" applyFont="1" applyFill="1" applyBorder="1"/>
    <xf numFmtId="41" fontId="2" fillId="7" borderId="23" xfId="0" applyNumberFormat="1" applyFont="1" applyFill="1" applyBorder="1"/>
    <xf numFmtId="41" fontId="0" fillId="2" borderId="2" xfId="0" applyNumberFormat="1" applyFill="1" applyBorder="1" applyProtection="1">
      <protection locked="0"/>
    </xf>
    <xf numFmtId="41" fontId="0" fillId="0" borderId="7" xfId="0" applyNumberFormat="1" applyBorder="1" applyProtection="1">
      <protection locked="0"/>
    </xf>
    <xf numFmtId="0" fontId="0" fillId="0" borderId="0" xfId="0" applyAlignment="1">
      <alignment horizontal="left"/>
    </xf>
    <xf numFmtId="0" fontId="0" fillId="0" borderId="0" xfId="0" applyAlignment="1">
      <alignment horizontal="right"/>
    </xf>
    <xf numFmtId="41" fontId="2" fillId="8" borderId="0" xfId="0" applyNumberFormat="1" applyFont="1" applyFill="1"/>
    <xf numFmtId="41" fontId="2" fillId="8" borderId="10" xfId="0" applyNumberFormat="1" applyFont="1" applyFill="1" applyBorder="1"/>
    <xf numFmtId="0" fontId="2" fillId="0" borderId="3" xfId="0" applyFont="1" applyBorder="1"/>
    <xf numFmtId="0" fontId="0" fillId="3" borderId="5" xfId="0" applyFill="1" applyBorder="1"/>
    <xf numFmtId="0" fontId="0" fillId="0" borderId="2" xfId="0" applyBorder="1" applyProtection="1">
      <protection locked="0"/>
    </xf>
    <xf numFmtId="0" fontId="0" fillId="0" borderId="12" xfId="0" applyBorder="1" applyProtection="1">
      <protection locked="0"/>
    </xf>
    <xf numFmtId="41" fontId="2" fillId="8" borderId="90" xfId="0" applyNumberFormat="1" applyFont="1" applyFill="1" applyBorder="1" applyProtection="1">
      <protection locked="0"/>
    </xf>
    <xf numFmtId="41" fontId="0" fillId="0" borderId="9" xfId="0" applyNumberFormat="1" applyBorder="1" applyProtection="1">
      <protection locked="0"/>
    </xf>
    <xf numFmtId="49" fontId="2" fillId="0" borderId="4" xfId="0" applyNumberFormat="1" applyFont="1" applyBorder="1" applyProtection="1">
      <protection locked="0"/>
    </xf>
    <xf numFmtId="49" fontId="2" fillId="0" borderId="3" xfId="0" applyNumberFormat="1" applyFont="1" applyBorder="1" applyProtection="1">
      <protection locked="0"/>
    </xf>
    <xf numFmtId="41" fontId="0" fillId="0" borderId="0" xfId="0" applyNumberFormat="1"/>
    <xf numFmtId="0" fontId="0" fillId="3" borderId="7" xfId="0" applyFill="1" applyBorder="1" applyAlignment="1">
      <alignment horizontal="center"/>
    </xf>
    <xf numFmtId="0" fontId="0" fillId="8" borderId="0" xfId="0" applyFill="1" applyAlignment="1">
      <alignment horizontal="center"/>
    </xf>
    <xf numFmtId="0" fontId="0" fillId="8" borderId="6" xfId="0" applyFill="1" applyBorder="1" applyAlignment="1">
      <alignment horizontal="center"/>
    </xf>
    <xf numFmtId="0" fontId="0" fillId="7" borderId="20" xfId="0" applyFill="1" applyBorder="1" applyAlignment="1">
      <alignment horizontal="center"/>
    </xf>
    <xf numFmtId="0" fontId="0" fillId="7" borderId="20" xfId="0" quotePrefix="1" applyFill="1" applyBorder="1" applyAlignment="1">
      <alignment horizontal="center"/>
    </xf>
    <xf numFmtId="0" fontId="0" fillId="3" borderId="5" xfId="0" applyFill="1" applyBorder="1" applyAlignment="1">
      <alignment horizontal="center"/>
    </xf>
    <xf numFmtId="0" fontId="1" fillId="2" borderId="6" xfId="0" applyFont="1" applyFill="1" applyBorder="1"/>
    <xf numFmtId="0" fontId="1" fillId="2" borderId="36" xfId="0" applyFont="1" applyFill="1" applyBorder="1" applyAlignment="1">
      <alignment horizontal="left"/>
    </xf>
    <xf numFmtId="0" fontId="0" fillId="0" borderId="9" xfId="0" applyBorder="1" applyAlignment="1">
      <alignment horizontal="center"/>
    </xf>
    <xf numFmtId="0" fontId="0" fillId="0" borderId="10" xfId="0" applyBorder="1" applyAlignment="1">
      <alignment horizontal="center"/>
    </xf>
    <xf numFmtId="41" fontId="0" fillId="0" borderId="6" xfId="0" applyNumberFormat="1" applyBorder="1" applyProtection="1">
      <protection locked="0"/>
    </xf>
    <xf numFmtId="0" fontId="0" fillId="7" borderId="5" xfId="0" applyFill="1" applyBorder="1" applyAlignment="1">
      <alignment horizontal="center"/>
    </xf>
    <xf numFmtId="0" fontId="0" fillId="7" borderId="9" xfId="0" applyFill="1" applyBorder="1" applyAlignment="1">
      <alignment horizontal="center"/>
    </xf>
    <xf numFmtId="0" fontId="0" fillId="0" borderId="37" xfId="0" applyBorder="1" applyAlignment="1">
      <alignment horizontal="center"/>
    </xf>
    <xf numFmtId="41" fontId="0" fillId="0" borderId="4" xfId="0" applyNumberFormat="1" applyBorder="1" applyProtection="1">
      <protection locked="0"/>
    </xf>
    <xf numFmtId="49" fontId="0" fillId="0" borderId="0" xfId="0" applyNumberFormat="1" applyProtection="1">
      <protection locked="0"/>
    </xf>
    <xf numFmtId="41" fontId="0" fillId="0" borderId="3" xfId="0" applyNumberFormat="1" applyBorder="1" applyProtection="1">
      <protection locked="0"/>
    </xf>
    <xf numFmtId="49" fontId="0" fillId="0" borderId="6" xfId="0" applyNumberFormat="1" applyBorder="1" applyProtection="1">
      <protection locked="0"/>
    </xf>
    <xf numFmtId="41" fontId="2" fillId="7" borderId="2" xfId="0" applyNumberFormat="1" applyFont="1" applyFill="1" applyBorder="1" applyAlignment="1">
      <alignment horizontal="center"/>
    </xf>
    <xf numFmtId="41" fontId="0" fillId="7" borderId="4" xfId="0" applyNumberFormat="1" applyFill="1" applyBorder="1"/>
    <xf numFmtId="41" fontId="0" fillId="3" borderId="22" xfId="0" applyNumberFormat="1" applyFill="1" applyBorder="1" applyAlignment="1">
      <alignment horizontal="right"/>
    </xf>
    <xf numFmtId="41" fontId="0" fillId="8" borderId="91" xfId="0" applyNumberFormat="1" applyFill="1" applyBorder="1" applyAlignment="1">
      <alignment horizontal="right"/>
    </xf>
    <xf numFmtId="41" fontId="0" fillId="8" borderId="92" xfId="0" applyNumberFormat="1" applyFill="1" applyBorder="1" applyAlignment="1">
      <alignment horizontal="right"/>
    </xf>
    <xf numFmtId="41" fontId="2" fillId="3" borderId="38" xfId="0" applyNumberFormat="1" applyFont="1" applyFill="1" applyBorder="1" applyAlignment="1">
      <alignment horizontal="right"/>
    </xf>
    <xf numFmtId="41" fontId="0" fillId="8" borderId="9" xfId="0" applyNumberFormat="1" applyFill="1" applyBorder="1"/>
    <xf numFmtId="0" fontId="0" fillId="2" borderId="39" xfId="0" applyFill="1" applyBorder="1"/>
    <xf numFmtId="41" fontId="2" fillId="3" borderId="27" xfId="0" applyNumberFormat="1" applyFont="1" applyFill="1" applyBorder="1"/>
    <xf numFmtId="41" fontId="2" fillId="3" borderId="29" xfId="0" applyNumberFormat="1" applyFont="1" applyFill="1" applyBorder="1"/>
    <xf numFmtId="41" fontId="2" fillId="3" borderId="26" xfId="0" applyNumberFormat="1" applyFont="1" applyFill="1" applyBorder="1"/>
    <xf numFmtId="41" fontId="2" fillId="8" borderId="27" xfId="0" applyNumberFormat="1" applyFont="1" applyFill="1" applyBorder="1"/>
    <xf numFmtId="164" fontId="0" fillId="2" borderId="26" xfId="0" applyNumberFormat="1" applyFill="1" applyBorder="1"/>
    <xf numFmtId="164" fontId="0" fillId="2" borderId="27" xfId="0" applyNumberFormat="1" applyFill="1" applyBorder="1"/>
    <xf numFmtId="164" fontId="0" fillId="2" borderId="29" xfId="0" applyNumberFormat="1" applyFill="1" applyBorder="1" applyAlignment="1">
      <alignment horizontal="center"/>
    </xf>
    <xf numFmtId="41" fontId="2" fillId="3" borderId="22" xfId="0" applyNumberFormat="1" applyFont="1" applyFill="1" applyBorder="1"/>
    <xf numFmtId="0" fontId="0" fillId="0" borderId="15" xfId="0" applyBorder="1" applyAlignment="1">
      <alignment horizontal="left"/>
    </xf>
    <xf numFmtId="41" fontId="2" fillId="3" borderId="37" xfId="0" applyNumberFormat="1" applyFont="1" applyFill="1" applyBorder="1"/>
    <xf numFmtId="41" fontId="2" fillId="3" borderId="15" xfId="0" applyNumberFormat="1" applyFont="1" applyFill="1" applyBorder="1"/>
    <xf numFmtId="41" fontId="0" fillId="3" borderId="37" xfId="0" applyNumberFormat="1" applyFill="1" applyBorder="1"/>
    <xf numFmtId="41" fontId="2" fillId="3" borderId="40" xfId="0" applyNumberFormat="1" applyFont="1" applyFill="1" applyBorder="1"/>
    <xf numFmtId="41" fontId="2" fillId="8" borderId="15" xfId="0" applyNumberFormat="1" applyFont="1" applyFill="1" applyBorder="1"/>
    <xf numFmtId="41" fontId="0" fillId="7" borderId="14" xfId="0" applyNumberFormat="1" applyFill="1" applyBorder="1"/>
    <xf numFmtId="41" fontId="0" fillId="7" borderId="0" xfId="0" applyNumberFormat="1" applyFill="1" applyAlignment="1">
      <alignment horizontal="center" vertical="center"/>
    </xf>
    <xf numFmtId="0" fontId="0" fillId="2" borderId="8" xfId="0" applyFill="1" applyBorder="1"/>
    <xf numFmtId="0" fontId="0" fillId="2" borderId="20" xfId="0" applyFill="1" applyBorder="1"/>
    <xf numFmtId="0" fontId="0" fillId="0" borderId="4" xfId="0" applyBorder="1" applyAlignment="1">
      <alignment horizontal="right"/>
    </xf>
    <xf numFmtId="0" fontId="1" fillId="0" borderId="2" xfId="0" applyFont="1" applyBorder="1" applyAlignment="1">
      <alignment horizontal="right"/>
    </xf>
    <xf numFmtId="0" fontId="11" fillId="0" borderId="0" xfId="0" applyFont="1"/>
    <xf numFmtId="0" fontId="2" fillId="0" borderId="0" xfId="0" applyFont="1" applyAlignment="1">
      <alignment horizontal="center" wrapText="1"/>
    </xf>
    <xf numFmtId="0" fontId="0" fillId="0" borderId="0" xfId="0" applyAlignment="1">
      <alignment wrapText="1"/>
    </xf>
    <xf numFmtId="0" fontId="2" fillId="5" borderId="9" xfId="0" applyFont="1" applyFill="1" applyBorder="1" applyAlignment="1">
      <alignment horizontal="center"/>
    </xf>
    <xf numFmtId="0" fontId="0" fillId="0" borderId="0" xfId="0" applyAlignment="1">
      <alignment horizontal="center" vertical="center" wrapText="1"/>
    </xf>
    <xf numFmtId="43" fontId="0" fillId="0" borderId="0" xfId="0" applyNumberFormat="1"/>
    <xf numFmtId="0" fontId="0" fillId="0" borderId="5" xfId="0" applyBorder="1" applyAlignment="1">
      <alignment horizontal="center"/>
    </xf>
    <xf numFmtId="0" fontId="2" fillId="0" borderId="0" xfId="0" applyFont="1" applyAlignment="1">
      <alignment horizontal="center" vertical="center" wrapText="1"/>
    </xf>
    <xf numFmtId="41" fontId="6" fillId="6" borderId="0" xfId="0" applyNumberFormat="1" applyFont="1" applyFill="1" applyAlignment="1">
      <alignment horizontal="left"/>
    </xf>
    <xf numFmtId="0" fontId="0" fillId="6" borderId="0" xfId="0" applyFill="1" applyAlignment="1">
      <alignment horizontal="left"/>
    </xf>
    <xf numFmtId="49" fontId="6" fillId="6" borderId="0" xfId="0" applyNumberFormat="1" applyFont="1" applyFill="1" applyAlignment="1">
      <alignment horizontal="left"/>
    </xf>
    <xf numFmtId="41" fontId="2" fillId="6" borderId="0" xfId="0" applyNumberFormat="1" applyFont="1" applyFill="1" applyAlignment="1">
      <alignment horizontal="left"/>
    </xf>
    <xf numFmtId="41" fontId="0" fillId="6" borderId="0" xfId="0" applyNumberFormat="1" applyFill="1" applyAlignment="1">
      <alignment horizontal="left"/>
    </xf>
    <xf numFmtId="49" fontId="2" fillId="11" borderId="0" xfId="0" applyNumberFormat="1" applyFont="1" applyFill="1" applyAlignment="1">
      <alignment horizontal="left"/>
    </xf>
    <xf numFmtId="0" fontId="0" fillId="11" borderId="0" xfId="0" applyFill="1"/>
    <xf numFmtId="49" fontId="2" fillId="0" borderId="3" xfId="0" applyNumberFormat="1" applyFont="1" applyBorder="1" applyAlignment="1">
      <alignment horizontal="right"/>
    </xf>
    <xf numFmtId="49" fontId="0" fillId="0" borderId="0" xfId="0" applyNumberFormat="1" applyAlignment="1">
      <alignment horizontal="center"/>
    </xf>
    <xf numFmtId="49" fontId="1" fillId="2" borderId="11" xfId="0" applyNumberFormat="1" applyFont="1" applyFill="1" applyBorder="1" applyAlignment="1">
      <alignment horizontal="left"/>
    </xf>
    <xf numFmtId="49" fontId="1" fillId="12" borderId="0" xfId="0" applyNumberFormat="1" applyFont="1" applyFill="1" applyAlignment="1">
      <alignment horizontal="center"/>
    </xf>
    <xf numFmtId="49" fontId="1" fillId="12" borderId="2" xfId="0" applyNumberFormat="1" applyFont="1" applyFill="1" applyBorder="1" applyAlignment="1">
      <alignment horizontal="center" vertical="center"/>
    </xf>
    <xf numFmtId="49" fontId="1" fillId="0" borderId="0" xfId="0" applyNumberFormat="1" applyFont="1" applyAlignment="1">
      <alignment horizontal="center"/>
    </xf>
    <xf numFmtId="49" fontId="2" fillId="0" borderId="0" xfId="0" applyNumberFormat="1" applyFont="1" applyAlignment="1">
      <alignment horizontal="center"/>
    </xf>
    <xf numFmtId="41" fontId="2" fillId="0" borderId="0" xfId="0" applyNumberFormat="1" applyFont="1"/>
    <xf numFmtId="41" fontId="2" fillId="0" borderId="0" xfId="0" applyNumberFormat="1" applyFont="1" applyAlignment="1">
      <alignment horizontal="center"/>
    </xf>
    <xf numFmtId="41" fontId="6" fillId="3" borderId="0" xfId="0" applyNumberFormat="1" applyFont="1" applyFill="1"/>
    <xf numFmtId="0" fontId="0" fillId="3" borderId="0" xfId="0" applyFill="1"/>
    <xf numFmtId="0" fontId="6" fillId="3" borderId="0" xfId="0" applyFont="1" applyFill="1"/>
    <xf numFmtId="0" fontId="0" fillId="0" borderId="5" xfId="0" quotePrefix="1" applyBorder="1" applyAlignment="1">
      <alignment horizontal="center"/>
    </xf>
    <xf numFmtId="0" fontId="0" fillId="0" borderId="0" xfId="0" applyAlignment="1">
      <alignment horizontal="center" wrapText="1"/>
    </xf>
    <xf numFmtId="0" fontId="1" fillId="0" borderId="11" xfId="0" applyFont="1" applyBorder="1" applyAlignment="1">
      <alignment horizontal="left"/>
    </xf>
    <xf numFmtId="0" fontId="0" fillId="0" borderId="0" xfId="0" applyAlignment="1">
      <alignment horizontal="center"/>
    </xf>
    <xf numFmtId="164" fontId="0" fillId="2" borderId="6" xfId="0" applyNumberFormat="1" applyFill="1" applyBorder="1"/>
    <xf numFmtId="0" fontId="1" fillId="0" borderId="0" xfId="0" applyFont="1" applyAlignment="1">
      <alignment horizontal="left"/>
    </xf>
    <xf numFmtId="0" fontId="0" fillId="0" borderId="12" xfId="0" applyBorder="1" applyAlignment="1">
      <alignment horizontal="center"/>
    </xf>
    <xf numFmtId="0" fontId="0" fillId="2" borderId="28" xfId="0" applyFill="1" applyBorder="1"/>
    <xf numFmtId="0" fontId="0" fillId="2" borderId="45" xfId="0" applyFill="1" applyBorder="1"/>
    <xf numFmtId="0" fontId="4" fillId="0" borderId="0" xfId="0" applyFont="1"/>
    <xf numFmtId="0" fontId="0" fillId="2" borderId="28" xfId="0" applyFill="1" applyBorder="1" applyAlignment="1">
      <alignment horizontal="left"/>
    </xf>
    <xf numFmtId="0" fontId="0" fillId="2" borderId="45" xfId="0" applyFill="1" applyBorder="1" applyAlignment="1">
      <alignment horizontal="left"/>
    </xf>
    <xf numFmtId="41" fontId="0" fillId="7" borderId="10" xfId="0" applyNumberFormat="1" applyFill="1" applyBorder="1" applyAlignment="1">
      <alignment horizontal="right" vertical="center"/>
    </xf>
    <xf numFmtId="0" fontId="2" fillId="0" borderId="3" xfId="0" applyFont="1" applyBorder="1" applyAlignment="1">
      <alignment horizontal="right"/>
    </xf>
    <xf numFmtId="0" fontId="2" fillId="0" borderId="10" xfId="0" applyFont="1" applyBorder="1" applyAlignment="1">
      <alignment horizontal="center"/>
    </xf>
    <xf numFmtId="0" fontId="2" fillId="0" borderId="0" xfId="0" applyFont="1"/>
    <xf numFmtId="0" fontId="0" fillId="0" borderId="45" xfId="0" applyBorder="1" applyAlignment="1">
      <alignment horizontal="left"/>
    </xf>
    <xf numFmtId="1" fontId="2" fillId="0" borderId="0" xfId="0" applyNumberFormat="1" applyFont="1"/>
    <xf numFmtId="1" fontId="1" fillId="0" borderId="0" xfId="0" applyNumberFormat="1" applyFont="1"/>
    <xf numFmtId="0" fontId="2" fillId="2" borderId="11" xfId="0" applyFont="1" applyFill="1" applyBorder="1" applyAlignment="1">
      <alignment horizontal="center"/>
    </xf>
    <xf numFmtId="0" fontId="0" fillId="2" borderId="1" xfId="0" applyFill="1" applyBorder="1"/>
    <xf numFmtId="0" fontId="0" fillId="2" borderId="46" xfId="0" applyFill="1" applyBorder="1"/>
    <xf numFmtId="0" fontId="0" fillId="2" borderId="16" xfId="0" applyFill="1" applyBorder="1" applyAlignment="1">
      <alignment horizontal="center"/>
    </xf>
    <xf numFmtId="0" fontId="0" fillId="2" borderId="11" xfId="0" applyFill="1" applyBorder="1" applyAlignment="1">
      <alignment horizontal="center"/>
    </xf>
    <xf numFmtId="0" fontId="0" fillId="2" borderId="20" xfId="0" applyFill="1" applyBorder="1" applyAlignment="1">
      <alignment horizontal="center"/>
    </xf>
    <xf numFmtId="41" fontId="1" fillId="7" borderId="47" xfId="0" applyNumberFormat="1" applyFont="1" applyFill="1" applyBorder="1"/>
    <xf numFmtId="0" fontId="0" fillId="3" borderId="5" xfId="0" applyFill="1" applyBorder="1" applyAlignment="1">
      <alignment horizontal="right"/>
    </xf>
    <xf numFmtId="0" fontId="0" fillId="8" borderId="0" xfId="0" quotePrefix="1" applyFill="1" applyAlignment="1">
      <alignment horizontal="center"/>
    </xf>
    <xf numFmtId="41" fontId="0" fillId="7" borderId="29" xfId="0" applyNumberFormat="1" applyFill="1" applyBorder="1"/>
    <xf numFmtId="0" fontId="0" fillId="8" borderId="15" xfId="0" quotePrefix="1" applyFill="1" applyBorder="1" applyAlignment="1">
      <alignment horizontal="center"/>
    </xf>
    <xf numFmtId="41" fontId="0" fillId="7" borderId="25" xfId="0" applyNumberFormat="1" applyFill="1" applyBorder="1"/>
    <xf numFmtId="41" fontId="1" fillId="7" borderId="29" xfId="0" applyNumberFormat="1" applyFont="1" applyFill="1" applyBorder="1"/>
    <xf numFmtId="0" fontId="1" fillId="0" borderId="5" xfId="0" applyFont="1" applyBorder="1" applyAlignment="1">
      <alignment horizontal="right"/>
    </xf>
    <xf numFmtId="41" fontId="0" fillId="3" borderId="16" xfId="0" applyNumberFormat="1" applyFill="1" applyBorder="1"/>
    <xf numFmtId="41" fontId="0" fillId="3" borderId="20" xfId="0" applyNumberFormat="1" applyFill="1" applyBorder="1"/>
    <xf numFmtId="0" fontId="0" fillId="8" borderId="15" xfId="0" applyFill="1" applyBorder="1" applyAlignment="1">
      <alignment horizontal="center"/>
    </xf>
    <xf numFmtId="49" fontId="0" fillId="0" borderId="0" xfId="0" applyNumberFormat="1"/>
    <xf numFmtId="41" fontId="1" fillId="3" borderId="37" xfId="0" applyNumberFormat="1" applyFont="1" applyFill="1" applyBorder="1"/>
    <xf numFmtId="41" fontId="1" fillId="3" borderId="48" xfId="0" applyNumberFormat="1" applyFont="1" applyFill="1" applyBorder="1"/>
    <xf numFmtId="41" fontId="1" fillId="7" borderId="37" xfId="0" applyNumberFormat="1" applyFont="1" applyFill="1" applyBorder="1"/>
    <xf numFmtId="49" fontId="2" fillId="0" borderId="4" xfId="0" applyNumberFormat="1" applyFont="1" applyBorder="1"/>
    <xf numFmtId="49" fontId="2" fillId="0" borderId="3" xfId="0" applyNumberFormat="1" applyFont="1" applyBorder="1"/>
    <xf numFmtId="0" fontId="0" fillId="2" borderId="4" xfId="0" applyFill="1" applyBorder="1" applyAlignment="1">
      <alignment horizontal="center"/>
    </xf>
    <xf numFmtId="41" fontId="2" fillId="4" borderId="0" xfId="0" applyNumberFormat="1" applyFont="1" applyFill="1"/>
    <xf numFmtId="41" fontId="2" fillId="4" borderId="3" xfId="0" applyNumberFormat="1" applyFont="1" applyFill="1" applyBorder="1"/>
    <xf numFmtId="41" fontId="0" fillId="4" borderId="9" xfId="0" applyNumberFormat="1" applyFill="1" applyBorder="1"/>
    <xf numFmtId="41" fontId="0" fillId="4" borderId="10" xfId="0" applyNumberFormat="1" applyFill="1" applyBorder="1"/>
    <xf numFmtId="41" fontId="0" fillId="7" borderId="3" xfId="0" applyNumberFormat="1" applyFill="1" applyBorder="1" applyAlignment="1">
      <alignment horizontal="center"/>
    </xf>
    <xf numFmtId="41" fontId="2" fillId="4" borderId="3" xfId="0" applyNumberFormat="1" applyFont="1" applyFill="1" applyBorder="1" applyAlignment="1">
      <alignment horizontal="center"/>
    </xf>
    <xf numFmtId="41" fontId="2" fillId="3" borderId="49" xfId="0" applyNumberFormat="1" applyFont="1" applyFill="1" applyBorder="1"/>
    <xf numFmtId="41" fontId="0" fillId="3" borderId="17" xfId="0" applyNumberFormat="1" applyFill="1" applyBorder="1"/>
    <xf numFmtId="41" fontId="2" fillId="4" borderId="49" xfId="0" applyNumberFormat="1" applyFont="1" applyFill="1" applyBorder="1"/>
    <xf numFmtId="41" fontId="2" fillId="4" borderId="50" xfId="0" applyNumberFormat="1" applyFont="1" applyFill="1" applyBorder="1"/>
    <xf numFmtId="41" fontId="2" fillId="4" borderId="51" xfId="0" applyNumberFormat="1" applyFont="1" applyFill="1" applyBorder="1"/>
    <xf numFmtId="41" fontId="0" fillId="4" borderId="18" xfId="0" applyNumberFormat="1" applyFill="1" applyBorder="1"/>
    <xf numFmtId="0" fontId="0" fillId="0" borderId="2" xfId="0" applyBorder="1" applyAlignment="1">
      <alignment horizontal="center" vertical="center"/>
    </xf>
    <xf numFmtId="41" fontId="0" fillId="4" borderId="17" xfId="0" applyNumberFormat="1" applyFill="1" applyBorder="1"/>
    <xf numFmtId="41" fontId="2" fillId="3" borderId="52" xfId="0" applyNumberFormat="1" applyFont="1" applyFill="1" applyBorder="1"/>
    <xf numFmtId="41" fontId="2" fillId="4" borderId="53" xfId="0" applyNumberFormat="1" applyFont="1" applyFill="1" applyBorder="1"/>
    <xf numFmtId="41" fontId="2" fillId="4" borderId="54" xfId="0" applyNumberFormat="1" applyFont="1" applyFill="1" applyBorder="1"/>
    <xf numFmtId="41" fontId="2" fillId="4" borderId="5" xfId="0" applyNumberFormat="1" applyFont="1" applyFill="1" applyBorder="1"/>
    <xf numFmtId="0" fontId="4" fillId="2" borderId="16" xfId="0" applyFont="1" applyFill="1" applyBorder="1"/>
    <xf numFmtId="0" fontId="1" fillId="0" borderId="16" xfId="0" applyFont="1" applyBorder="1" applyAlignment="1">
      <alignment horizontal="left"/>
    </xf>
    <xf numFmtId="0" fontId="0" fillId="2" borderId="9" xfId="0" applyFill="1" applyBorder="1"/>
    <xf numFmtId="164" fontId="0" fillId="2" borderId="9" xfId="0" applyNumberFormat="1" applyFill="1" applyBorder="1"/>
    <xf numFmtId="0" fontId="0" fillId="0" borderId="0" xfId="0" applyAlignment="1">
      <alignment horizontal="center" vertical="center"/>
    </xf>
    <xf numFmtId="164" fontId="0" fillId="2" borderId="10" xfId="0" applyNumberFormat="1" applyFill="1" applyBorder="1"/>
    <xf numFmtId="0" fontId="0" fillId="2" borderId="5" xfId="0" applyFill="1" applyBorder="1"/>
    <xf numFmtId="164" fontId="0" fillId="2" borderId="5" xfId="0" applyNumberFormat="1" applyFill="1" applyBorder="1" applyAlignment="1">
      <alignment horizontal="center"/>
    </xf>
    <xf numFmtId="41" fontId="0" fillId="3" borderId="4" xfId="0" applyNumberFormat="1" applyFill="1" applyBorder="1"/>
    <xf numFmtId="41" fontId="2" fillId="3" borderId="7" xfId="0" applyNumberFormat="1" applyFont="1" applyFill="1" applyBorder="1"/>
    <xf numFmtId="41" fontId="2" fillId="3" borderId="33" xfId="0" applyNumberFormat="1" applyFont="1" applyFill="1" applyBorder="1"/>
    <xf numFmtId="41" fontId="0" fillId="3" borderId="3" xfId="0" applyNumberFormat="1" applyFill="1" applyBorder="1" applyAlignment="1">
      <alignment horizontal="right"/>
    </xf>
    <xf numFmtId="41" fontId="2" fillId="3" borderId="55" xfId="0" applyNumberFormat="1" applyFont="1" applyFill="1" applyBorder="1"/>
    <xf numFmtId="0" fontId="0" fillId="2" borderId="6" xfId="0" applyFill="1" applyBorder="1" applyAlignment="1">
      <alignment horizontal="left"/>
    </xf>
    <xf numFmtId="41" fontId="2" fillId="3" borderId="34" xfId="0" applyNumberFormat="1" applyFont="1" applyFill="1" applyBorder="1"/>
    <xf numFmtId="0" fontId="2" fillId="12" borderId="0" xfId="0" applyFont="1" applyFill="1" applyAlignment="1">
      <alignment horizontal="left" vertical="center"/>
    </xf>
    <xf numFmtId="41" fontId="2" fillId="3" borderId="3" xfId="0" applyNumberFormat="1" applyFont="1" applyFill="1" applyBorder="1"/>
    <xf numFmtId="41" fontId="0" fillId="7" borderId="5" xfId="0" applyNumberFormat="1" applyFill="1" applyBorder="1"/>
    <xf numFmtId="41" fontId="0" fillId="3" borderId="7" xfId="0" applyNumberFormat="1" applyFill="1" applyBorder="1"/>
    <xf numFmtId="41" fontId="0" fillId="3" borderId="55" xfId="0" applyNumberFormat="1" applyFill="1" applyBorder="1"/>
    <xf numFmtId="0" fontId="1" fillId="0" borderId="20" xfId="0" applyFont="1" applyBorder="1" applyAlignment="1">
      <alignment horizontal="left"/>
    </xf>
    <xf numFmtId="0" fontId="1" fillId="0" borderId="9" xfId="0" applyFont="1" applyBorder="1" applyAlignment="1">
      <alignment horizontal="center"/>
    </xf>
    <xf numFmtId="0" fontId="1" fillId="12" borderId="0" xfId="0" applyFont="1" applyFill="1" applyAlignment="1">
      <alignment horizontal="left"/>
    </xf>
    <xf numFmtId="0" fontId="0" fillId="12" borderId="0" xfId="0" applyFill="1"/>
    <xf numFmtId="0" fontId="2" fillId="0" borderId="0" xfId="0" applyFont="1" applyAlignment="1">
      <alignment horizontal="center"/>
    </xf>
    <xf numFmtId="0" fontId="0" fillId="0" borderId="0" xfId="0" applyAlignment="1">
      <alignment vertical="center" wrapText="1"/>
    </xf>
    <xf numFmtId="0" fontId="1" fillId="0" borderId="0" xfId="0" applyFont="1" applyAlignment="1">
      <alignment horizontal="right"/>
    </xf>
    <xf numFmtId="41" fontId="2" fillId="3" borderId="56" xfId="0" applyNumberFormat="1" applyFont="1" applyFill="1" applyBorder="1"/>
    <xf numFmtId="41" fontId="0" fillId="7" borderId="56" xfId="0" applyNumberFormat="1" applyFill="1" applyBorder="1"/>
    <xf numFmtId="41" fontId="18" fillId="3" borderId="22" xfId="0" applyNumberFormat="1" applyFont="1" applyFill="1" applyBorder="1" applyAlignment="1">
      <alignment horizontal="right"/>
    </xf>
    <xf numFmtId="41" fontId="0" fillId="4" borderId="5" xfId="0" applyNumberFormat="1" applyFill="1" applyBorder="1"/>
    <xf numFmtId="41" fontId="2" fillId="3" borderId="4" xfId="0" applyNumberFormat="1" applyFont="1" applyFill="1" applyBorder="1"/>
    <xf numFmtId="41" fontId="2" fillId="3" borderId="50" xfId="0" applyNumberFormat="1" applyFont="1" applyFill="1" applyBorder="1"/>
    <xf numFmtId="41" fontId="0" fillId="3" borderId="57" xfId="0" applyNumberFormat="1" applyFill="1" applyBorder="1"/>
    <xf numFmtId="0" fontId="1" fillId="0" borderId="10" xfId="0" applyFont="1" applyBorder="1" applyAlignment="1">
      <alignment horizontal="center"/>
    </xf>
    <xf numFmtId="0" fontId="0" fillId="0" borderId="2" xfId="0" applyBorder="1"/>
    <xf numFmtId="0" fontId="0" fillId="0" borderId="58" xfId="0" applyBorder="1" applyAlignment="1">
      <alignment horizontal="center"/>
    </xf>
    <xf numFmtId="1" fontId="0" fillId="2" borderId="11" xfId="0" applyNumberFormat="1" applyFill="1" applyBorder="1" applyAlignment="1">
      <alignment horizontal="center" vertical="center"/>
    </xf>
    <xf numFmtId="0" fontId="1" fillId="2" borderId="31" xfId="0" applyFont="1" applyFill="1" applyBorder="1" applyAlignment="1">
      <alignment horizontal="left"/>
    </xf>
    <xf numFmtId="49" fontId="2" fillId="0" borderId="2" xfId="0" applyNumberFormat="1"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59" xfId="0" applyBorder="1" applyAlignment="1">
      <alignment horizontal="center"/>
    </xf>
    <xf numFmtId="0" fontId="0" fillId="0" borderId="60" xfId="0" applyBorder="1" applyAlignment="1">
      <alignment horizontal="center"/>
    </xf>
    <xf numFmtId="0" fontId="0" fillId="7" borderId="21" xfId="0" applyFill="1" applyBorder="1" applyAlignment="1">
      <alignment horizontal="center"/>
    </xf>
    <xf numFmtId="0" fontId="0" fillId="7" borderId="41" xfId="0" applyFill="1" applyBorder="1" applyAlignment="1">
      <alignment horizontal="center"/>
    </xf>
    <xf numFmtId="0" fontId="0" fillId="0" borderId="61" xfId="0" applyBorder="1" applyAlignment="1">
      <alignment horizontal="center"/>
    </xf>
    <xf numFmtId="0" fontId="1" fillId="0" borderId="2" xfId="0" applyFont="1" applyBorder="1" applyAlignment="1">
      <alignment horizontal="center"/>
    </xf>
    <xf numFmtId="41" fontId="0" fillId="3" borderId="22" xfId="0" applyNumberFormat="1" applyFill="1" applyBorder="1"/>
    <xf numFmtId="41" fontId="0" fillId="8" borderId="27" xfId="0" applyNumberFormat="1" applyFill="1" applyBorder="1" applyAlignment="1">
      <alignment horizontal="right"/>
    </xf>
    <xf numFmtId="41" fontId="2" fillId="4" borderId="52" xfId="0" applyNumberFormat="1" applyFont="1" applyFill="1" applyBorder="1"/>
    <xf numFmtId="0" fontId="0" fillId="2" borderId="62" xfId="0" applyFill="1" applyBorder="1"/>
    <xf numFmtId="0" fontId="0" fillId="2" borderId="62" xfId="0" applyFill="1" applyBorder="1" applyAlignment="1">
      <alignment horizontal="left"/>
    </xf>
    <xf numFmtId="41" fontId="0" fillId="7" borderId="7" xfId="0" applyNumberFormat="1" applyFill="1" applyBorder="1"/>
    <xf numFmtId="0" fontId="0" fillId="2" borderId="16" xfId="0" applyFill="1" applyBorder="1" applyAlignment="1">
      <alignment horizontal="left"/>
    </xf>
    <xf numFmtId="0" fontId="0" fillId="2" borderId="39" xfId="0" applyFill="1" applyBorder="1" applyAlignment="1">
      <alignment horizontal="left"/>
    </xf>
    <xf numFmtId="1" fontId="0" fillId="2" borderId="1" xfId="0" applyNumberFormat="1" applyFill="1" applyBorder="1" applyAlignment="1">
      <alignment horizontal="center" vertical="center"/>
    </xf>
    <xf numFmtId="0" fontId="2" fillId="0" borderId="58" xfId="0" applyFont="1" applyBorder="1" applyAlignment="1">
      <alignment horizontal="center"/>
    </xf>
    <xf numFmtId="0" fontId="0" fillId="3" borderId="63" xfId="0" applyFill="1" applyBorder="1" applyAlignment="1">
      <alignment horizontal="center"/>
    </xf>
    <xf numFmtId="41" fontId="0" fillId="7" borderId="6" xfId="0" applyNumberFormat="1" applyFill="1" applyBorder="1"/>
    <xf numFmtId="41" fontId="0" fillId="7" borderId="56" xfId="0" applyNumberFormat="1" applyFill="1" applyBorder="1" applyAlignment="1">
      <alignment horizontal="center" vertical="center"/>
    </xf>
    <xf numFmtId="41" fontId="0" fillId="3" borderId="0" xfId="0" applyNumberFormat="1" applyFill="1" applyAlignment="1">
      <alignment horizontal="center"/>
    </xf>
    <xf numFmtId="0" fontId="2" fillId="0" borderId="2" xfId="0" applyFont="1" applyBorder="1" applyAlignment="1">
      <alignment horizontal="center"/>
    </xf>
    <xf numFmtId="41" fontId="2" fillId="8" borderId="0" xfId="0" applyNumberFormat="1" applyFont="1" applyFill="1" applyAlignment="1">
      <alignment horizontal="center" vertical="center"/>
    </xf>
    <xf numFmtId="0" fontId="2" fillId="0" borderId="0" xfId="0" applyFont="1" applyAlignment="1">
      <alignment horizontal="right"/>
    </xf>
    <xf numFmtId="41" fontId="2" fillId="7" borderId="1" xfId="0" applyNumberFormat="1" applyFont="1" applyFill="1" applyBorder="1" applyAlignment="1">
      <alignment horizontal="center" vertical="center"/>
    </xf>
    <xf numFmtId="41" fontId="2" fillId="8" borderId="2" xfId="0" applyNumberFormat="1" applyFont="1" applyFill="1" applyBorder="1" applyAlignment="1">
      <alignment horizontal="center" vertical="center"/>
    </xf>
    <xf numFmtId="41" fontId="0" fillId="8" borderId="4" xfId="0" applyNumberFormat="1" applyFill="1" applyBorder="1" applyAlignment="1">
      <alignment horizontal="center" vertical="center"/>
    </xf>
    <xf numFmtId="41" fontId="0" fillId="8" borderId="2" xfId="0" applyNumberFormat="1" applyFill="1" applyBorder="1" applyAlignment="1">
      <alignment horizontal="center" vertical="center"/>
    </xf>
    <xf numFmtId="0" fontId="2" fillId="0" borderId="3" xfId="0" applyFont="1" applyBorder="1" applyAlignment="1">
      <alignment horizontal="left"/>
    </xf>
    <xf numFmtId="41" fontId="0" fillId="8" borderId="64" xfId="0" applyNumberFormat="1" applyFill="1" applyBorder="1"/>
    <xf numFmtId="41" fontId="2" fillId="8" borderId="86" xfId="0" applyNumberFormat="1" applyFont="1" applyFill="1" applyBorder="1" applyProtection="1">
      <protection locked="0"/>
    </xf>
    <xf numFmtId="49" fontId="2" fillId="0" borderId="8" xfId="0" applyNumberFormat="1" applyFont="1" applyBorder="1" applyProtection="1">
      <protection locked="0"/>
    </xf>
    <xf numFmtId="49" fontId="2" fillId="0" borderId="0" xfId="0" applyNumberFormat="1" applyFont="1" applyProtection="1">
      <protection locked="0"/>
    </xf>
    <xf numFmtId="41" fontId="2" fillId="8" borderId="11" xfId="0" applyNumberFormat="1" applyFont="1" applyFill="1" applyBorder="1" applyAlignment="1" applyProtection="1">
      <alignment horizontal="right"/>
      <protection locked="0"/>
    </xf>
    <xf numFmtId="41" fontId="2" fillId="8" borderId="65" xfId="0" applyNumberFormat="1" applyFont="1" applyFill="1" applyBorder="1" applyAlignment="1" applyProtection="1">
      <alignment horizontal="right"/>
      <protection locked="0"/>
    </xf>
    <xf numFmtId="41" fontId="2" fillId="8" borderId="91" xfId="0" applyNumberFormat="1" applyFont="1" applyFill="1" applyBorder="1" applyProtection="1">
      <protection locked="0"/>
    </xf>
    <xf numFmtId="41" fontId="2" fillId="8" borderId="93" xfId="0" applyNumberFormat="1" applyFont="1" applyFill="1" applyBorder="1" applyProtection="1">
      <protection locked="0"/>
    </xf>
    <xf numFmtId="41" fontId="1" fillId="8" borderId="65" xfId="0" applyNumberFormat="1" applyFont="1" applyFill="1" applyBorder="1" applyAlignment="1" applyProtection="1">
      <alignment horizontal="right"/>
      <protection locked="0"/>
    </xf>
    <xf numFmtId="41" fontId="2" fillId="8" borderId="22" xfId="0" applyNumberFormat="1" applyFont="1" applyFill="1" applyBorder="1" applyAlignment="1" applyProtection="1">
      <alignment horizontal="right"/>
      <protection locked="0"/>
    </xf>
    <xf numFmtId="41" fontId="2" fillId="8" borderId="66" xfId="0" applyNumberFormat="1" applyFont="1" applyFill="1" applyBorder="1" applyAlignment="1" applyProtection="1">
      <alignment horizontal="right"/>
      <protection locked="0"/>
    </xf>
    <xf numFmtId="41" fontId="2" fillId="8" borderId="32" xfId="0" applyNumberFormat="1" applyFont="1" applyFill="1" applyBorder="1" applyAlignment="1" applyProtection="1">
      <alignment horizontal="right"/>
      <protection locked="0"/>
    </xf>
    <xf numFmtId="41" fontId="2" fillId="8" borderId="25" xfId="0" applyNumberFormat="1" applyFont="1" applyFill="1" applyBorder="1" applyAlignment="1" applyProtection="1">
      <alignment horizontal="right"/>
      <protection locked="0"/>
    </xf>
    <xf numFmtId="41" fontId="2" fillId="8" borderId="1" xfId="0" applyNumberFormat="1" applyFont="1" applyFill="1" applyBorder="1" applyAlignment="1">
      <alignment horizontal="center" vertical="center"/>
    </xf>
    <xf numFmtId="41" fontId="0" fillId="0" borderId="2" xfId="0" applyNumberFormat="1" applyBorder="1" applyAlignment="1">
      <alignment horizontal="center" vertical="center"/>
    </xf>
    <xf numFmtId="41" fontId="0" fillId="8" borderId="3" xfId="0" applyNumberFormat="1" applyFill="1" applyBorder="1" applyAlignment="1">
      <alignment horizontal="center" vertical="center"/>
    </xf>
    <xf numFmtId="0" fontId="2" fillId="0" borderId="9" xfId="0" applyFont="1" applyBorder="1" applyAlignment="1">
      <alignment horizontal="center"/>
    </xf>
    <xf numFmtId="3" fontId="2" fillId="0" borderId="10" xfId="0" quotePrefix="1" applyNumberFormat="1" applyFont="1" applyBorder="1" applyAlignment="1">
      <alignment horizontal="center"/>
    </xf>
    <xf numFmtId="41" fontId="0" fillId="7" borderId="10" xfId="0" applyNumberFormat="1" applyFill="1" applyBorder="1" applyAlignment="1">
      <alignment horizontal="center" vertical="center"/>
    </xf>
    <xf numFmtId="41" fontId="2" fillId="8" borderId="64" xfId="0" applyNumberFormat="1" applyFont="1" applyFill="1" applyBorder="1" applyAlignment="1">
      <alignment horizontal="center" vertical="center"/>
    </xf>
    <xf numFmtId="41" fontId="2" fillId="8" borderId="49" xfId="0" applyNumberFormat="1" applyFont="1" applyFill="1" applyBorder="1" applyAlignment="1">
      <alignment horizontal="center" vertical="center"/>
    </xf>
    <xf numFmtId="41" fontId="0" fillId="8" borderId="49" xfId="0" applyNumberFormat="1" applyFill="1" applyBorder="1"/>
    <xf numFmtId="41" fontId="2" fillId="7" borderId="11" xfId="0" applyNumberFormat="1" applyFont="1" applyFill="1" applyBorder="1" applyAlignment="1">
      <alignment horizontal="center" vertical="center"/>
    </xf>
    <xf numFmtId="0" fontId="2" fillId="8" borderId="9" xfId="0" applyFont="1" applyFill="1" applyBorder="1" applyAlignment="1">
      <alignment horizontal="center"/>
    </xf>
    <xf numFmtId="41" fontId="2" fillId="8" borderId="8" xfId="0" applyNumberFormat="1" applyFont="1" applyFill="1" applyBorder="1"/>
    <xf numFmtId="41" fontId="2" fillId="8" borderId="4" xfId="0" applyNumberFormat="1" applyFont="1" applyFill="1" applyBorder="1"/>
    <xf numFmtId="0" fontId="2" fillId="8" borderId="5" xfId="0" applyFont="1" applyFill="1" applyBorder="1" applyAlignment="1">
      <alignment horizontal="center"/>
    </xf>
    <xf numFmtId="41" fontId="0" fillId="8" borderId="0" xfId="0" applyNumberFormat="1" applyFill="1"/>
    <xf numFmtId="0" fontId="0" fillId="8" borderId="35" xfId="0" applyFill="1" applyBorder="1"/>
    <xf numFmtId="0" fontId="2" fillId="8" borderId="35" xfId="0" applyFont="1" applyFill="1" applyBorder="1" applyAlignment="1">
      <alignment horizontal="center"/>
    </xf>
    <xf numFmtId="41" fontId="2" fillId="8" borderId="9" xfId="0" applyNumberFormat="1" applyFont="1" applyFill="1" applyBorder="1"/>
    <xf numFmtId="41" fontId="0" fillId="3" borderId="19" xfId="0" applyNumberFormat="1" applyFill="1" applyBorder="1"/>
    <xf numFmtId="41" fontId="0" fillId="4" borderId="19" xfId="0" applyNumberFormat="1" applyFill="1" applyBorder="1"/>
    <xf numFmtId="41" fontId="0" fillId="8" borderId="0" xfId="0" applyNumberFormat="1" applyFill="1" applyAlignment="1">
      <alignment horizontal="center" vertical="center"/>
    </xf>
    <xf numFmtId="0" fontId="2" fillId="7" borderId="2" xfId="0" applyFont="1" applyFill="1" applyBorder="1" applyAlignment="1">
      <alignment horizontal="center" vertical="center"/>
    </xf>
    <xf numFmtId="41" fontId="2" fillId="3" borderId="67" xfId="0" applyNumberFormat="1" applyFont="1" applyFill="1" applyBorder="1"/>
    <xf numFmtId="41" fontId="0" fillId="8" borderId="8" xfId="0" applyNumberFormat="1" applyFill="1" applyBorder="1"/>
    <xf numFmtId="41" fontId="2" fillId="4" borderId="10" xfId="0" applyNumberFormat="1" applyFont="1" applyFill="1" applyBorder="1"/>
    <xf numFmtId="41" fontId="2" fillId="4" borderId="17" xfId="0" applyNumberFormat="1" applyFont="1" applyFill="1" applyBorder="1"/>
    <xf numFmtId="0" fontId="0" fillId="8" borderId="35" xfId="0" applyFill="1" applyBorder="1" applyAlignment="1">
      <alignment horizontal="center"/>
    </xf>
    <xf numFmtId="41" fontId="2" fillId="8" borderId="1" xfId="0" applyNumberFormat="1" applyFont="1" applyFill="1" applyBorder="1"/>
    <xf numFmtId="41" fontId="2" fillId="8" borderId="20" xfId="0" applyNumberFormat="1" applyFont="1" applyFill="1" applyBorder="1"/>
    <xf numFmtId="41" fontId="2" fillId="4" borderId="12" xfId="0" applyNumberFormat="1" applyFont="1" applyFill="1" applyBorder="1"/>
    <xf numFmtId="0" fontId="0" fillId="0" borderId="10" xfId="0" applyBorder="1" applyAlignment="1">
      <alignment horizontal="right"/>
    </xf>
    <xf numFmtId="0" fontId="2" fillId="0" borderId="50" xfId="0" applyFont="1" applyBorder="1" applyAlignment="1">
      <alignment horizontal="right"/>
    </xf>
    <xf numFmtId="41" fontId="0" fillId="7" borderId="2" xfId="0" applyNumberFormat="1" applyFill="1" applyBorder="1" applyAlignment="1">
      <alignment horizontal="center" vertical="center"/>
    </xf>
    <xf numFmtId="41" fontId="2" fillId="3" borderId="3" xfId="0" applyNumberFormat="1" applyFont="1" applyFill="1" applyBorder="1" applyAlignment="1">
      <alignment horizontal="center"/>
    </xf>
    <xf numFmtId="41" fontId="0" fillId="8" borderId="9" xfId="0" applyNumberFormat="1" applyFill="1" applyBorder="1" applyAlignment="1">
      <alignment horizontal="center" vertical="center"/>
    </xf>
    <xf numFmtId="41" fontId="2" fillId="7" borderId="12" xfId="0" applyNumberFormat="1" applyFont="1" applyFill="1" applyBorder="1"/>
    <xf numFmtId="41" fontId="2" fillId="4" borderId="2" xfId="0" applyNumberFormat="1" applyFont="1" applyFill="1" applyBorder="1"/>
    <xf numFmtId="41" fontId="2" fillId="4" borderId="9" xfId="0" applyNumberFormat="1" applyFont="1" applyFill="1" applyBorder="1"/>
    <xf numFmtId="41" fontId="2" fillId="4" borderId="64" xfId="0" applyNumberFormat="1" applyFont="1" applyFill="1" applyBorder="1"/>
    <xf numFmtId="0" fontId="0" fillId="7" borderId="3" xfId="0" applyFill="1" applyBorder="1" applyAlignment="1">
      <alignment horizontal="center" vertical="center"/>
    </xf>
    <xf numFmtId="41" fontId="2" fillId="8" borderId="2" xfId="0" applyNumberFormat="1" applyFont="1" applyFill="1" applyBorder="1"/>
    <xf numFmtId="0" fontId="0" fillId="0" borderId="3" xfId="0" applyBorder="1" applyAlignment="1">
      <alignment horizontal="center"/>
    </xf>
    <xf numFmtId="41" fontId="2" fillId="8" borderId="23" xfId="0" applyNumberFormat="1" applyFont="1" applyFill="1" applyBorder="1"/>
    <xf numFmtId="41" fontId="2" fillId="8" borderId="16" xfId="0" applyNumberFormat="1" applyFont="1" applyFill="1" applyBorder="1" applyAlignment="1">
      <alignment horizontal="center" vertical="center"/>
    </xf>
    <xf numFmtId="41" fontId="2" fillId="8" borderId="8" xfId="0" applyNumberFormat="1" applyFont="1" applyFill="1" applyBorder="1" applyAlignment="1">
      <alignment horizontal="center" vertical="center"/>
    </xf>
    <xf numFmtId="41" fontId="2" fillId="8" borderId="68" xfId="0" applyNumberFormat="1" applyFont="1" applyFill="1" applyBorder="1"/>
    <xf numFmtId="0" fontId="2" fillId="8" borderId="68" xfId="0" applyFont="1" applyFill="1" applyBorder="1"/>
    <xf numFmtId="0" fontId="0" fillId="8" borderId="68" xfId="0" applyFill="1" applyBorder="1" applyAlignment="1">
      <alignment horizontal="center" vertical="center"/>
    </xf>
    <xf numFmtId="41" fontId="0" fillId="4" borderId="50" xfId="0" applyNumberFormat="1" applyFill="1" applyBorder="1"/>
    <xf numFmtId="41" fontId="2" fillId="4" borderId="4" xfId="0" applyNumberFormat="1" applyFont="1" applyFill="1" applyBorder="1"/>
    <xf numFmtId="41" fontId="2" fillId="7" borderId="2" xfId="0" applyNumberFormat="1" applyFont="1" applyFill="1" applyBorder="1" applyAlignment="1">
      <alignment horizontal="center" vertical="center"/>
    </xf>
    <xf numFmtId="41" fontId="2" fillId="7" borderId="23" xfId="0" applyNumberFormat="1" applyFont="1" applyFill="1" applyBorder="1" applyAlignment="1">
      <alignment horizontal="center" vertical="center"/>
    </xf>
    <xf numFmtId="41" fontId="0" fillId="4" borderId="3" xfId="0" applyNumberFormat="1" applyFill="1" applyBorder="1"/>
    <xf numFmtId="41" fontId="0" fillId="4" borderId="2" xfId="0" applyNumberFormat="1" applyFill="1" applyBorder="1"/>
    <xf numFmtId="41" fontId="0" fillId="3" borderId="52" xfId="0" applyNumberFormat="1" applyFill="1" applyBorder="1"/>
    <xf numFmtId="0" fontId="2" fillId="0" borderId="0" xfId="0" applyFont="1" applyAlignment="1">
      <alignment horizontal="left"/>
    </xf>
    <xf numFmtId="0" fontId="0" fillId="8" borderId="23" xfId="0" applyFill="1" applyBorder="1" applyAlignment="1">
      <alignment horizontal="center"/>
    </xf>
    <xf numFmtId="41" fontId="2" fillId="8" borderId="37" xfId="0" applyNumberFormat="1" applyFont="1" applyFill="1" applyBorder="1"/>
    <xf numFmtId="41" fontId="2" fillId="8" borderId="40" xfId="0" applyNumberFormat="1" applyFont="1" applyFill="1" applyBorder="1"/>
    <xf numFmtId="41" fontId="2" fillId="7" borderId="0" xfId="0" applyNumberFormat="1" applyFont="1" applyFill="1" applyAlignment="1">
      <alignment horizontal="center" vertical="center"/>
    </xf>
    <xf numFmtId="41" fontId="2" fillId="7" borderId="50" xfId="0" applyNumberFormat="1" applyFont="1" applyFill="1" applyBorder="1" applyAlignment="1">
      <alignment horizontal="center" vertical="center"/>
    </xf>
    <xf numFmtId="41" fontId="2" fillId="7" borderId="10" xfId="0" applyNumberFormat="1" applyFont="1" applyFill="1" applyBorder="1" applyAlignment="1">
      <alignment horizontal="center" vertical="center"/>
    </xf>
    <xf numFmtId="41" fontId="2" fillId="7" borderId="17" xfId="0" applyNumberFormat="1" applyFont="1" applyFill="1" applyBorder="1" applyAlignment="1">
      <alignment horizontal="center" vertical="center"/>
    </xf>
    <xf numFmtId="41" fontId="0" fillId="7" borderId="9" xfId="0" applyNumberFormat="1" applyFill="1" applyBorder="1" applyAlignment="1">
      <alignment horizontal="center" vertical="center"/>
    </xf>
    <xf numFmtId="41" fontId="0" fillId="7" borderId="5" xfId="0" applyNumberFormat="1" applyFill="1" applyBorder="1" applyAlignment="1">
      <alignment horizontal="center" vertical="center"/>
    </xf>
    <xf numFmtId="41" fontId="2" fillId="4" borderId="1" xfId="0" applyNumberFormat="1" applyFont="1" applyFill="1" applyBorder="1"/>
    <xf numFmtId="41" fontId="2" fillId="8" borderId="5" xfId="0" applyNumberFormat="1" applyFont="1" applyFill="1" applyBorder="1" applyAlignment="1">
      <alignment horizontal="center" vertical="center"/>
    </xf>
    <xf numFmtId="41" fontId="2" fillId="8" borderId="11" xfId="0" applyNumberFormat="1" applyFont="1" applyFill="1" applyBorder="1"/>
    <xf numFmtId="41" fontId="0" fillId="7" borderId="3" xfId="0" applyNumberFormat="1" applyFill="1" applyBorder="1" applyAlignment="1">
      <alignment horizontal="center" vertical="center"/>
    </xf>
    <xf numFmtId="41" fontId="0" fillId="8" borderId="5" xfId="0" applyNumberFormat="1" applyFill="1" applyBorder="1"/>
    <xf numFmtId="41" fontId="0" fillId="8" borderId="4" xfId="0" applyNumberFormat="1" applyFill="1" applyBorder="1"/>
    <xf numFmtId="41" fontId="0" fillId="8" borderId="5" xfId="0" applyNumberFormat="1" applyFill="1" applyBorder="1" applyAlignment="1">
      <alignment horizontal="center" vertical="center"/>
    </xf>
    <xf numFmtId="41" fontId="0" fillId="8" borderId="48" xfId="0" applyNumberFormat="1" applyFill="1" applyBorder="1"/>
    <xf numFmtId="41" fontId="2" fillId="8" borderId="5" xfId="0" applyNumberFormat="1" applyFont="1" applyFill="1" applyBorder="1"/>
    <xf numFmtId="41" fontId="2" fillId="8" borderId="11" xfId="0" applyNumberFormat="1" applyFont="1" applyFill="1" applyBorder="1" applyAlignment="1">
      <alignment horizontal="center" vertical="center"/>
    </xf>
    <xf numFmtId="41" fontId="2" fillId="8" borderId="15" xfId="0" applyNumberFormat="1" applyFont="1" applyFill="1" applyBorder="1" applyAlignment="1">
      <alignment horizontal="center" vertical="center"/>
    </xf>
    <xf numFmtId="41" fontId="0" fillId="7" borderId="37" xfId="0" applyNumberFormat="1" applyFill="1" applyBorder="1"/>
    <xf numFmtId="0" fontId="1" fillId="0" borderId="0" xfId="0" applyFont="1" applyAlignment="1">
      <alignment horizontal="left" wrapText="1"/>
    </xf>
    <xf numFmtId="0" fontId="2" fillId="0" borderId="0" xfId="0" applyFont="1" applyAlignment="1">
      <alignment horizontal="center" vertical="center"/>
    </xf>
    <xf numFmtId="0" fontId="1" fillId="0" borderId="0" xfId="0" applyFont="1" applyAlignment="1">
      <alignment horizontal="center"/>
    </xf>
    <xf numFmtId="0" fontId="0" fillId="0" borderId="0" xfId="0" applyAlignment="1" applyProtection="1">
      <alignment horizontal="center"/>
      <protection locked="0"/>
    </xf>
    <xf numFmtId="0" fontId="6" fillId="0" borderId="0" xfId="0" applyFont="1"/>
    <xf numFmtId="49" fontId="1" fillId="5" borderId="0" xfId="0" applyNumberFormat="1" applyFont="1" applyFill="1" applyAlignment="1">
      <alignment horizontal="left"/>
    </xf>
    <xf numFmtId="49" fontId="1" fillId="13" borderId="0" xfId="0" applyNumberFormat="1" applyFont="1" applyFill="1" applyAlignment="1">
      <alignment horizontal="left"/>
    </xf>
    <xf numFmtId="0" fontId="2" fillId="14" borderId="0" xfId="0" applyFont="1" applyFill="1" applyAlignment="1">
      <alignment horizontal="center"/>
    </xf>
    <xf numFmtId="0" fontId="2" fillId="13" borderId="0" xfId="0" applyFont="1" applyFill="1" applyAlignment="1">
      <alignment horizontal="center"/>
    </xf>
    <xf numFmtId="43" fontId="2" fillId="0" borderId="0" xfId="0" applyNumberFormat="1" applyFont="1"/>
    <xf numFmtId="43" fontId="0" fillId="0" borderId="0" xfId="0" applyNumberFormat="1" applyAlignment="1">
      <alignment horizontal="right"/>
    </xf>
    <xf numFmtId="0" fontId="0" fillId="2" borderId="0" xfId="0" applyFill="1" applyAlignment="1">
      <alignment horizontal="center"/>
    </xf>
    <xf numFmtId="0" fontId="0" fillId="2" borderId="0" xfId="0" applyFill="1" applyAlignment="1">
      <alignment horizontal="center" wrapText="1"/>
    </xf>
    <xf numFmtId="41" fontId="1" fillId="8" borderId="24" xfId="0" applyNumberFormat="1" applyFont="1" applyFill="1" applyBorder="1" applyProtection="1">
      <protection locked="0"/>
    </xf>
    <xf numFmtId="164" fontId="0" fillId="2" borderId="46" xfId="0" applyNumberFormat="1" applyFill="1" applyBorder="1"/>
    <xf numFmtId="164" fontId="0" fillId="2" borderId="14" xfId="0" applyNumberFormat="1" applyFill="1" applyBorder="1"/>
    <xf numFmtId="0" fontId="0" fillId="2" borderId="14" xfId="0" applyFill="1" applyBorder="1"/>
    <xf numFmtId="0" fontId="0" fillId="2" borderId="70" xfId="0" applyFill="1" applyBorder="1"/>
    <xf numFmtId="0" fontId="1" fillId="14" borderId="20" xfId="0" applyFont="1" applyFill="1" applyBorder="1" applyAlignment="1">
      <alignment horizontal="center"/>
    </xf>
    <xf numFmtId="0" fontId="1" fillId="14" borderId="0" xfId="0" applyFont="1" applyFill="1" applyAlignment="1">
      <alignment horizontal="left" vertical="center"/>
    </xf>
    <xf numFmtId="49" fontId="1" fillId="12" borderId="0" xfId="0" applyNumberFormat="1" applyFont="1" applyFill="1" applyAlignment="1">
      <alignment horizontal="center" vertical="center"/>
    </xf>
    <xf numFmtId="49" fontId="1" fillId="0" borderId="0" xfId="0" applyNumberFormat="1" applyFont="1" applyAlignment="1">
      <alignment horizontal="left" wrapText="1"/>
    </xf>
    <xf numFmtId="0" fontId="0" fillId="2" borderId="22" xfId="0" applyFill="1" applyBorder="1"/>
    <xf numFmtId="41" fontId="0" fillId="3" borderId="27" xfId="0" applyNumberFormat="1" applyFill="1" applyBorder="1" applyAlignment="1">
      <alignment horizontal="center"/>
    </xf>
    <xf numFmtId="41" fontId="2" fillId="3" borderId="71" xfId="0" applyNumberFormat="1" applyFont="1" applyFill="1" applyBorder="1"/>
    <xf numFmtId="41" fontId="2" fillId="3" borderId="72" xfId="0" applyNumberFormat="1" applyFont="1" applyFill="1" applyBorder="1"/>
    <xf numFmtId="41" fontId="20" fillId="8" borderId="31" xfId="0" applyNumberFormat="1" applyFont="1" applyFill="1" applyBorder="1" applyAlignment="1" applyProtection="1">
      <alignment horizontal="right"/>
      <protection locked="0"/>
    </xf>
    <xf numFmtId="41" fontId="20" fillId="8" borderId="47" xfId="0" applyNumberFormat="1" applyFont="1" applyFill="1" applyBorder="1" applyAlignment="1" applyProtection="1">
      <alignment horizontal="right"/>
      <protection locked="0"/>
    </xf>
    <xf numFmtId="41" fontId="0" fillId="7" borderId="17" xfId="0" applyNumberFormat="1" applyFill="1" applyBorder="1" applyAlignment="1">
      <alignment horizontal="center" vertical="center"/>
    </xf>
    <xf numFmtId="0" fontId="2" fillId="0" borderId="3" xfId="0" applyFont="1" applyBorder="1" applyProtection="1">
      <protection locked="0"/>
    </xf>
    <xf numFmtId="41" fontId="0" fillId="8" borderId="15" xfId="0" applyNumberFormat="1" applyFill="1" applyBorder="1"/>
    <xf numFmtId="0" fontId="1" fillId="2" borderId="0" xfId="0" applyFont="1" applyFill="1" applyAlignment="1">
      <alignment horizontal="right"/>
    </xf>
    <xf numFmtId="0" fontId="1" fillId="0" borderId="1" xfId="0" applyFont="1" applyBorder="1" applyAlignment="1">
      <alignment horizontal="right"/>
    </xf>
    <xf numFmtId="0" fontId="1" fillId="0" borderId="16" xfId="0" applyFont="1" applyBorder="1" applyAlignment="1">
      <alignment horizontal="right"/>
    </xf>
    <xf numFmtId="0" fontId="10" fillId="0" borderId="0" xfId="0" applyFont="1"/>
    <xf numFmtId="41" fontId="10" fillId="0" borderId="0" xfId="0" applyNumberFormat="1" applyFont="1"/>
    <xf numFmtId="0" fontId="1" fillId="0" borderId="7" xfId="0" applyFont="1" applyBorder="1" applyAlignment="1">
      <alignment horizontal="right"/>
    </xf>
    <xf numFmtId="0" fontId="1" fillId="2" borderId="16" xfId="0" applyFont="1" applyFill="1" applyBorder="1" applyAlignment="1">
      <alignment horizontal="right"/>
    </xf>
    <xf numFmtId="0" fontId="7" fillId="10" borderId="0" xfId="0" applyFont="1" applyFill="1" applyAlignment="1">
      <alignment wrapText="1"/>
    </xf>
    <xf numFmtId="0" fontId="0" fillId="10" borderId="0" xfId="0" applyFill="1" applyAlignment="1">
      <alignment wrapText="1"/>
    </xf>
    <xf numFmtId="0" fontId="7" fillId="10" borderId="0" xfId="0" applyFont="1" applyFill="1" applyAlignment="1">
      <alignment vertical="center" wrapText="1"/>
    </xf>
    <xf numFmtId="0" fontId="0" fillId="10" borderId="0" xfId="0" applyFill="1" applyAlignment="1">
      <alignment horizontal="left" vertical="top" wrapText="1"/>
    </xf>
    <xf numFmtId="0" fontId="2" fillId="10" borderId="0" xfId="0" applyFont="1" applyFill="1" applyAlignment="1">
      <alignment wrapText="1"/>
    </xf>
    <xf numFmtId="0" fontId="2" fillId="10" borderId="0" xfId="0" applyFont="1" applyFill="1" applyAlignment="1">
      <alignment horizontal="center" wrapText="1"/>
    </xf>
    <xf numFmtId="0" fontId="1" fillId="10" borderId="0" xfId="0" applyFont="1" applyFill="1" applyAlignment="1">
      <alignment horizontal="center" vertical="center" wrapText="1"/>
    </xf>
    <xf numFmtId="166" fontId="2" fillId="10" borderId="0" xfId="0" applyNumberFormat="1" applyFont="1" applyFill="1" applyAlignment="1">
      <alignment wrapText="1"/>
    </xf>
    <xf numFmtId="0" fontId="1" fillId="7" borderId="13" xfId="0" applyFont="1" applyFill="1" applyBorder="1" applyAlignment="1">
      <alignment horizontal="center" wrapText="1"/>
    </xf>
    <xf numFmtId="0" fontId="2" fillId="7" borderId="0" xfId="0" applyFont="1" applyFill="1" applyAlignment="1">
      <alignment horizontal="center" wrapText="1"/>
    </xf>
    <xf numFmtId="166" fontId="2" fillId="7" borderId="97" xfId="0" applyNumberFormat="1" applyFont="1" applyFill="1" applyBorder="1" applyAlignment="1">
      <alignment horizontal="center" wrapText="1"/>
    </xf>
    <xf numFmtId="166" fontId="2" fillId="7" borderId="98" xfId="0" applyNumberFormat="1" applyFont="1" applyFill="1" applyBorder="1" applyAlignment="1">
      <alignment horizontal="center" wrapText="1"/>
    </xf>
    <xf numFmtId="0" fontId="2" fillId="7" borderId="15" xfId="0" applyFont="1" applyFill="1" applyBorder="1" applyAlignment="1">
      <alignment horizontal="center" wrapText="1"/>
    </xf>
    <xf numFmtId="0" fontId="9" fillId="10" borderId="13"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2" fillId="10" borderId="97" xfId="0" applyFont="1" applyFill="1" applyBorder="1" applyAlignment="1">
      <alignment wrapText="1"/>
    </xf>
    <xf numFmtId="0" fontId="4" fillId="10" borderId="97" xfId="0" applyFont="1" applyFill="1" applyBorder="1" applyAlignment="1">
      <alignment horizontal="left" wrapText="1"/>
    </xf>
    <xf numFmtId="166" fontId="2" fillId="7" borderId="98" xfId="0" applyNumberFormat="1" applyFont="1" applyFill="1" applyBorder="1" applyAlignment="1">
      <alignment horizontal="center" vertical="center" wrapText="1"/>
    </xf>
    <xf numFmtId="166" fontId="2" fillId="7" borderId="97" xfId="0" applyNumberFormat="1" applyFont="1" applyFill="1" applyBorder="1" applyAlignment="1">
      <alignment horizontal="center" vertical="center" wrapText="1"/>
    </xf>
    <xf numFmtId="0" fontId="23" fillId="10" borderId="0" xfId="0" applyFont="1" applyFill="1" applyAlignment="1">
      <alignment horizontal="center" wrapText="1"/>
    </xf>
    <xf numFmtId="0" fontId="24" fillId="10" borderId="97" xfId="0" applyFont="1" applyFill="1" applyBorder="1" applyAlignment="1">
      <alignment horizontal="center" wrapText="1"/>
    </xf>
    <xf numFmtId="0" fontId="4" fillId="10" borderId="97" xfId="0" applyFont="1" applyFill="1" applyBorder="1" applyAlignment="1">
      <alignment wrapText="1"/>
    </xf>
    <xf numFmtId="0" fontId="7" fillId="10" borderId="97" xfId="0" applyFont="1" applyFill="1" applyBorder="1" applyAlignment="1">
      <alignment horizontal="center" wrapText="1"/>
    </xf>
    <xf numFmtId="0" fontId="4" fillId="10" borderId="97" xfId="0" applyFont="1" applyFill="1" applyBorder="1" applyAlignment="1">
      <alignment horizontal="center" vertical="center" wrapText="1"/>
    </xf>
    <xf numFmtId="0" fontId="25" fillId="10" borderId="97" xfId="0" applyFont="1" applyFill="1" applyBorder="1" applyAlignment="1">
      <alignment horizontal="center" vertical="center" wrapText="1"/>
    </xf>
    <xf numFmtId="166" fontId="2" fillId="10" borderId="0" xfId="0" applyNumberFormat="1" applyFont="1" applyFill="1" applyAlignment="1">
      <alignment horizontal="center" wrapText="1"/>
    </xf>
    <xf numFmtId="0" fontId="0" fillId="8" borderId="36" xfId="0" quotePrefix="1" applyFill="1" applyBorder="1" applyAlignment="1" applyProtection="1">
      <alignment horizontal="center"/>
      <protection locked="0"/>
    </xf>
    <xf numFmtId="0" fontId="0" fillId="8" borderId="0" xfId="0" quotePrefix="1" applyFill="1" applyAlignment="1" applyProtection="1">
      <alignment horizontal="center"/>
      <protection locked="0"/>
    </xf>
    <xf numFmtId="0" fontId="0" fillId="8" borderId="36" xfId="0" applyFill="1" applyBorder="1" applyAlignment="1" applyProtection="1">
      <alignment horizontal="center"/>
      <protection locked="0"/>
    </xf>
    <xf numFmtId="41" fontId="2" fillId="16" borderId="9" xfId="0" applyNumberFormat="1" applyFont="1" applyFill="1" applyBorder="1"/>
    <xf numFmtId="41" fontId="2" fillId="16" borderId="26" xfId="0" applyNumberFormat="1" applyFont="1" applyFill="1" applyBorder="1"/>
    <xf numFmtId="41" fontId="2" fillId="16" borderId="5" xfId="0" applyNumberFormat="1" applyFont="1" applyFill="1" applyBorder="1"/>
    <xf numFmtId="41" fontId="2" fillId="16" borderId="52" xfId="0" applyNumberFormat="1" applyFont="1" applyFill="1" applyBorder="1"/>
    <xf numFmtId="41" fontId="2" fillId="16" borderId="19" xfId="0" applyNumberFormat="1" applyFont="1" applyFill="1" applyBorder="1"/>
    <xf numFmtId="41" fontId="2" fillId="16" borderId="53" xfId="0" applyNumberFormat="1" applyFont="1" applyFill="1" applyBorder="1"/>
    <xf numFmtId="41" fontId="2" fillId="16" borderId="54" xfId="0" applyNumberFormat="1" applyFont="1" applyFill="1" applyBorder="1"/>
    <xf numFmtId="41" fontId="0" fillId="16" borderId="53" xfId="0" applyNumberFormat="1" applyFill="1" applyBorder="1"/>
    <xf numFmtId="41" fontId="0" fillId="16" borderId="52" xfId="0" applyNumberFormat="1" applyFill="1" applyBorder="1"/>
    <xf numFmtId="41" fontId="0" fillId="16" borderId="19" xfId="0" applyNumberFormat="1" applyFill="1" applyBorder="1"/>
    <xf numFmtId="41" fontId="2" fillId="16" borderId="6" xfId="0" applyNumberFormat="1" applyFont="1" applyFill="1" applyBorder="1"/>
    <xf numFmtId="41" fontId="2" fillId="16" borderId="12" xfId="0" applyNumberFormat="1" applyFont="1" applyFill="1" applyBorder="1"/>
    <xf numFmtId="41" fontId="2" fillId="16" borderId="29" xfId="0" applyNumberFormat="1" applyFont="1" applyFill="1" applyBorder="1"/>
    <xf numFmtId="41" fontId="0" fillId="8" borderId="16" xfId="0" applyNumberFormat="1" applyFill="1" applyBorder="1"/>
    <xf numFmtId="41" fontId="2" fillId="16" borderId="10" xfId="0" applyNumberFormat="1" applyFont="1" applyFill="1" applyBorder="1"/>
    <xf numFmtId="41" fontId="2" fillId="16" borderId="51" xfId="0" applyNumberFormat="1" applyFont="1" applyFill="1" applyBorder="1"/>
    <xf numFmtId="41" fontId="2" fillId="16" borderId="18" xfId="0" applyNumberFormat="1" applyFont="1" applyFill="1" applyBorder="1"/>
    <xf numFmtId="41" fontId="2" fillId="16" borderId="81" xfId="0" applyNumberFormat="1" applyFont="1" applyFill="1" applyBorder="1"/>
    <xf numFmtId="41" fontId="2" fillId="16" borderId="57" xfId="0" applyNumberFormat="1" applyFont="1" applyFill="1" applyBorder="1"/>
    <xf numFmtId="41" fontId="0" fillId="8" borderId="11" xfId="0" applyNumberFormat="1" applyFill="1" applyBorder="1"/>
    <xf numFmtId="41" fontId="0" fillId="8" borderId="20" xfId="0" applyNumberFormat="1" applyFill="1" applyBorder="1"/>
    <xf numFmtId="41" fontId="0" fillId="8" borderId="22" xfId="0" applyNumberFormat="1" applyFill="1" applyBorder="1"/>
    <xf numFmtId="0" fontId="26" fillId="10" borderId="98" xfId="0" applyFont="1" applyFill="1" applyBorder="1" applyAlignment="1">
      <alignment wrapText="1"/>
    </xf>
    <xf numFmtId="167" fontId="0" fillId="3" borderId="22" xfId="0" applyNumberFormat="1" applyFill="1" applyBorder="1"/>
    <xf numFmtId="2" fontId="2" fillId="0" borderId="0" xfId="0" applyNumberFormat="1" applyFont="1"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2" fontId="0" fillId="0" borderId="0" xfId="0" applyNumberFormat="1" applyAlignment="1">
      <alignment horizontal="center" wrapText="1"/>
    </xf>
    <xf numFmtId="2" fontId="2" fillId="0" borderId="0" xfId="0" applyNumberFormat="1" applyFont="1" applyAlignment="1">
      <alignment wrapText="1"/>
    </xf>
    <xf numFmtId="2" fontId="0" fillId="0" borderId="0" xfId="0" applyNumberFormat="1" applyAlignment="1">
      <alignment horizontal="right"/>
    </xf>
    <xf numFmtId="2" fontId="2" fillId="0" borderId="0" xfId="0" applyNumberFormat="1" applyFont="1" applyAlignment="1">
      <alignment horizontal="right"/>
    </xf>
    <xf numFmtId="2" fontId="1" fillId="0" borderId="0" xfId="0" applyNumberFormat="1" applyFont="1" applyAlignment="1">
      <alignment horizontal="center"/>
    </xf>
    <xf numFmtId="2" fontId="1" fillId="0" borderId="0" xfId="0" applyNumberFormat="1" applyFont="1" applyAlignment="1">
      <alignment horizontal="left"/>
    </xf>
    <xf numFmtId="2" fontId="4" fillId="0" borderId="0" xfId="0" applyNumberFormat="1" applyFont="1"/>
    <xf numFmtId="2" fontId="0" fillId="0" borderId="0" xfId="0" applyNumberFormat="1" applyAlignment="1">
      <alignment horizontal="left"/>
    </xf>
    <xf numFmtId="0" fontId="27" fillId="10" borderId="14" xfId="0" applyFont="1" applyFill="1" applyBorder="1" applyAlignment="1">
      <alignment horizontal="center" wrapText="1"/>
    </xf>
    <xf numFmtId="0" fontId="26" fillId="10" borderId="96" xfId="0" applyFont="1" applyFill="1" applyBorder="1" applyAlignment="1">
      <alignment wrapText="1"/>
    </xf>
    <xf numFmtId="49" fontId="1" fillId="17" borderId="0" xfId="0" applyNumberFormat="1" applyFont="1" applyFill="1" applyAlignment="1">
      <alignment horizontal="left"/>
    </xf>
    <xf numFmtId="0" fontId="1" fillId="17" borderId="2" xfId="0" applyFont="1" applyFill="1" applyBorder="1" applyAlignment="1">
      <alignment horizontal="left" vertical="center"/>
    </xf>
    <xf numFmtId="0" fontId="2" fillId="17" borderId="0" xfId="0" applyFont="1" applyFill="1" applyAlignment="1">
      <alignment vertical="center"/>
    </xf>
    <xf numFmtId="0" fontId="15" fillId="17" borderId="0" xfId="0" applyFont="1" applyFill="1" applyAlignment="1">
      <alignment vertical="center"/>
    </xf>
    <xf numFmtId="0" fontId="0" fillId="17" borderId="0" xfId="0" applyFill="1"/>
    <xf numFmtId="49" fontId="2" fillId="17" borderId="0" xfId="0" applyNumberFormat="1" applyFont="1" applyFill="1" applyAlignment="1">
      <alignment horizontal="center"/>
    </xf>
    <xf numFmtId="1" fontId="2" fillId="17" borderId="0" xfId="0" applyNumberFormat="1" applyFont="1" applyFill="1"/>
    <xf numFmtId="49" fontId="2" fillId="0" borderId="5" xfId="0" applyNumberFormat="1" applyFont="1" applyBorder="1" applyProtection="1">
      <protection locked="0"/>
    </xf>
    <xf numFmtId="49" fontId="0" fillId="18" borderId="0" xfId="0" applyNumberFormat="1" applyFill="1" applyAlignment="1">
      <alignment horizontal="center"/>
    </xf>
    <xf numFmtId="41" fontId="0" fillId="18" borderId="0" xfId="0" applyNumberFormat="1" applyFill="1"/>
    <xf numFmtId="0" fontId="1" fillId="19" borderId="11" xfId="0" applyFont="1" applyFill="1" applyBorder="1" applyAlignment="1">
      <alignment horizontal="left"/>
    </xf>
    <xf numFmtId="0" fontId="0" fillId="19" borderId="16" xfId="0" applyFill="1" applyBorder="1"/>
    <xf numFmtId="0" fontId="0" fillId="0" borderId="20" xfId="0" applyBorder="1"/>
    <xf numFmtId="0" fontId="0" fillId="0" borderId="0" xfId="0" applyAlignment="1" applyProtection="1">
      <alignment wrapText="1"/>
      <protection locked="0"/>
    </xf>
    <xf numFmtId="0" fontId="0" fillId="21" borderId="9" xfId="0" applyFill="1" applyBorder="1"/>
    <xf numFmtId="0" fontId="2" fillId="21" borderId="10" xfId="0" applyFont="1" applyFill="1" applyBorder="1"/>
    <xf numFmtId="0" fontId="10" fillId="21" borderId="99" xfId="0" applyFont="1" applyFill="1" applyBorder="1" applyAlignment="1">
      <alignment horizontal="center" vertical="center"/>
    </xf>
    <xf numFmtId="0" fontId="0" fillId="21" borderId="10" xfId="0" applyFill="1" applyBorder="1" applyAlignment="1">
      <alignment horizontal="center"/>
    </xf>
    <xf numFmtId="49" fontId="2" fillId="21" borderId="10" xfId="0" applyNumberFormat="1" applyFont="1" applyFill="1" applyBorder="1" applyAlignment="1">
      <alignment horizontal="center"/>
    </xf>
    <xf numFmtId="0" fontId="2" fillId="21" borderId="3" xfId="0" applyFont="1" applyFill="1" applyBorder="1"/>
    <xf numFmtId="0" fontId="2" fillId="21" borderId="10" xfId="0" applyFont="1" applyFill="1" applyBorder="1" applyAlignment="1">
      <alignment horizontal="center"/>
    </xf>
    <xf numFmtId="0" fontId="0" fillId="0" borderId="16" xfId="0" applyBorder="1"/>
    <xf numFmtId="0" fontId="0" fillId="0" borderId="8" xfId="0" applyBorder="1"/>
    <xf numFmtId="0" fontId="1" fillId="0" borderId="1" xfId="0" applyFont="1" applyBorder="1"/>
    <xf numFmtId="0" fontId="1" fillId="0" borderId="4" xfId="0" applyFont="1" applyBorder="1"/>
    <xf numFmtId="0" fontId="1" fillId="0" borderId="2" xfId="0" applyFont="1" applyBorder="1"/>
    <xf numFmtId="0" fontId="1" fillId="0" borderId="12" xfId="0" applyFont="1" applyBorder="1"/>
    <xf numFmtId="0" fontId="1" fillId="0" borderId="7" xfId="0" applyFont="1" applyBorder="1"/>
    <xf numFmtId="0" fontId="19" fillId="0" borderId="11" xfId="0" applyFont="1" applyBorder="1"/>
    <xf numFmtId="0" fontId="8" fillId="10" borderId="96" xfId="0" applyFont="1" applyFill="1" applyBorder="1" applyAlignment="1">
      <alignment horizontal="center" vertical="center" wrapText="1"/>
    </xf>
    <xf numFmtId="0" fontId="26" fillId="10" borderId="97" xfId="0" applyFont="1" applyFill="1" applyBorder="1" applyAlignment="1">
      <alignment vertical="center"/>
    </xf>
    <xf numFmtId="0" fontId="4" fillId="10" borderId="14" xfId="0" applyFont="1" applyFill="1" applyBorder="1" applyAlignment="1">
      <alignment wrapText="1"/>
    </xf>
    <xf numFmtId="0" fontId="4" fillId="10" borderId="97" xfId="0" applyFont="1" applyFill="1" applyBorder="1" applyAlignment="1">
      <alignment horizontal="center" wrapText="1"/>
    </xf>
    <xf numFmtId="0" fontId="7" fillId="10" borderId="98" xfId="0" applyFont="1" applyFill="1" applyBorder="1" applyAlignment="1">
      <alignment horizontal="center" wrapText="1"/>
    </xf>
    <xf numFmtId="49" fontId="10" fillId="0" borderId="58" xfId="0" applyNumberFormat="1" applyFont="1" applyBorder="1"/>
    <xf numFmtId="49" fontId="10" fillId="0" borderId="0" xfId="0" applyNumberFormat="1" applyFont="1" applyAlignment="1">
      <alignment wrapText="1"/>
    </xf>
    <xf numFmtId="0" fontId="10" fillId="0" borderId="0" xfId="0" applyFont="1" applyAlignment="1">
      <alignment wrapText="1"/>
    </xf>
    <xf numFmtId="0" fontId="31" fillId="20" borderId="0" xfId="0" applyFont="1" applyFill="1"/>
    <xf numFmtId="0" fontId="0" fillId="20" borderId="0" xfId="0" applyFill="1"/>
    <xf numFmtId="0" fontId="0" fillId="20" borderId="0" xfId="0" applyFill="1" applyAlignment="1">
      <alignment horizontal="center"/>
    </xf>
    <xf numFmtId="0" fontId="31" fillId="20" borderId="6" xfId="0" applyFont="1" applyFill="1" applyBorder="1"/>
    <xf numFmtId="0" fontId="0" fillId="20" borderId="6" xfId="0" applyFill="1" applyBorder="1"/>
    <xf numFmtId="0" fontId="0" fillId="20" borderId="6" xfId="0" applyFill="1" applyBorder="1" applyAlignment="1">
      <alignment horizontal="center"/>
    </xf>
    <xf numFmtId="0" fontId="0" fillId="23" borderId="9" xfId="0" applyFill="1" applyBorder="1"/>
    <xf numFmtId="0" fontId="10" fillId="23" borderId="16" xfId="0" applyFont="1" applyFill="1" applyBorder="1" applyAlignment="1">
      <alignment horizontal="center" vertical="center"/>
    </xf>
    <xf numFmtId="0" fontId="10" fillId="23" borderId="20" xfId="0" applyFont="1" applyFill="1" applyBorder="1" applyAlignment="1">
      <alignment horizontal="center" vertical="center"/>
    </xf>
    <xf numFmtId="0" fontId="2" fillId="23" borderId="10" xfId="0" applyFont="1" applyFill="1" applyBorder="1"/>
    <xf numFmtId="0" fontId="2" fillId="23" borderId="0" xfId="0" applyFont="1" applyFill="1"/>
    <xf numFmtId="0" fontId="2" fillId="23" borderId="6" xfId="0" applyFont="1" applyFill="1" applyBorder="1"/>
    <xf numFmtId="0" fontId="2" fillId="0" borderId="0" xfId="0" applyFont="1"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center" wrapText="1"/>
    </xf>
    <xf numFmtId="49" fontId="0" fillId="15" borderId="0" xfId="0" applyNumberFormat="1" applyFill="1" applyAlignment="1">
      <alignment horizontal="center"/>
    </xf>
    <xf numFmtId="41" fontId="0" fillId="15" borderId="0" xfId="0" applyNumberFormat="1" applyFill="1"/>
    <xf numFmtId="0" fontId="0" fillId="15" borderId="0" xfId="0" applyFill="1"/>
    <xf numFmtId="44" fontId="0" fillId="21" borderId="10" xfId="5" applyFont="1" applyFill="1" applyBorder="1" applyAlignment="1">
      <alignment horizontal="center"/>
    </xf>
    <xf numFmtId="44" fontId="0" fillId="21" borderId="2" xfId="5" applyFont="1" applyFill="1" applyBorder="1" applyAlignment="1">
      <alignment horizontal="center"/>
    </xf>
    <xf numFmtId="2" fontId="1" fillId="0" borderId="0" xfId="0" applyNumberFormat="1" applyFont="1" applyAlignment="1" applyProtection="1">
      <alignment horizontal="right"/>
      <protection locked="0"/>
    </xf>
    <xf numFmtId="2" fontId="1" fillId="0" borderId="0" xfId="0" applyNumberFormat="1" applyFont="1"/>
    <xf numFmtId="168" fontId="1" fillId="0" borderId="0" xfId="0" applyNumberFormat="1" applyFont="1"/>
    <xf numFmtId="0" fontId="2" fillId="0" borderId="0" xfId="0" applyFont="1" applyProtection="1">
      <protection locked="0"/>
    </xf>
    <xf numFmtId="49" fontId="0" fillId="0" borderId="0" xfId="0" applyNumberFormat="1" applyAlignment="1" applyProtection="1">
      <alignment horizontal="center"/>
      <protection locked="0"/>
    </xf>
    <xf numFmtId="0" fontId="0" fillId="0" borderId="0" xfId="0" applyAlignment="1" applyProtection="1">
      <alignment horizontal="left"/>
      <protection locked="0"/>
    </xf>
    <xf numFmtId="164" fontId="0" fillId="0" borderId="0" xfId="0" applyNumberFormat="1" applyProtection="1">
      <protection locked="0"/>
    </xf>
    <xf numFmtId="2" fontId="2" fillId="0" borderId="58" xfId="0" applyNumberFormat="1" applyFont="1" applyBorder="1" applyAlignment="1">
      <alignment vertical="center" wrapText="1"/>
    </xf>
    <xf numFmtId="2" fontId="2" fillId="0" borderId="0" xfId="0" applyNumberFormat="1" applyFont="1" applyAlignment="1">
      <alignment vertical="center" wrapText="1"/>
    </xf>
    <xf numFmtId="42" fontId="0" fillId="7" borderId="0" xfId="5" applyNumberFormat="1" applyFont="1" applyFill="1" applyBorder="1" applyAlignment="1">
      <alignment horizontal="center"/>
    </xf>
    <xf numFmtId="42" fontId="0" fillId="7" borderId="0" xfId="5" applyNumberFormat="1" applyFont="1" applyFill="1"/>
    <xf numFmtId="42" fontId="0" fillId="7" borderId="0" xfId="0" applyNumberFormat="1" applyFill="1"/>
    <xf numFmtId="164" fontId="0" fillId="2" borderId="3" xfId="0" applyNumberFormat="1" applyFill="1" applyBorder="1" applyProtection="1">
      <protection locked="0"/>
    </xf>
    <xf numFmtId="164" fontId="0" fillId="0" borderId="6" xfId="0" applyNumberFormat="1" applyBorder="1" applyProtection="1">
      <protection locked="0"/>
    </xf>
    <xf numFmtId="164" fontId="0" fillId="0" borderId="7" xfId="0" applyNumberFormat="1" applyBorder="1" applyProtection="1">
      <protection locked="0"/>
    </xf>
    <xf numFmtId="164" fontId="0" fillId="0" borderId="100" xfId="0" applyNumberFormat="1" applyBorder="1" applyProtection="1">
      <protection locked="0"/>
    </xf>
    <xf numFmtId="0" fontId="2" fillId="8" borderId="2" xfId="0" applyFont="1" applyFill="1" applyBorder="1" applyAlignment="1">
      <alignment vertical="center"/>
    </xf>
    <xf numFmtId="0" fontId="0" fillId="8" borderId="3" xfId="0" applyFill="1" applyBorder="1" applyAlignment="1">
      <alignment vertical="center"/>
    </xf>
    <xf numFmtId="0" fontId="0" fillId="8" borderId="2" xfId="0" applyFill="1" applyBorder="1" applyAlignment="1">
      <alignment vertical="center"/>
    </xf>
    <xf numFmtId="0" fontId="0" fillId="8" borderId="12" xfId="0" applyFill="1" applyBorder="1" applyAlignment="1">
      <alignment vertical="center"/>
    </xf>
    <xf numFmtId="0" fontId="0" fillId="8" borderId="7" xfId="0" applyFill="1" applyBorder="1" applyAlignment="1">
      <alignment vertical="center"/>
    </xf>
    <xf numFmtId="0" fontId="2" fillId="8" borderId="9" xfId="0" applyFont="1" applyFill="1" applyBorder="1" applyAlignment="1">
      <alignment vertical="center"/>
    </xf>
    <xf numFmtId="0" fontId="0" fillId="8" borderId="9" xfId="0" applyFill="1" applyBorder="1" applyAlignment="1">
      <alignment vertical="center"/>
    </xf>
    <xf numFmtId="0" fontId="0" fillId="8" borderId="10" xfId="0" applyFill="1" applyBorder="1" applyAlignment="1">
      <alignment vertical="center"/>
    </xf>
    <xf numFmtId="0" fontId="0" fillId="8" borderId="5" xfId="0" applyFill="1" applyBorder="1" applyAlignment="1">
      <alignment vertical="center"/>
    </xf>
    <xf numFmtId="0" fontId="0" fillId="8" borderId="4" xfId="0" applyFill="1" applyBorder="1" applyAlignment="1">
      <alignment vertical="center"/>
    </xf>
    <xf numFmtId="0" fontId="2" fillId="8" borderId="4" xfId="0" applyFont="1" applyFill="1" applyBorder="1" applyAlignment="1">
      <alignment vertical="center"/>
    </xf>
    <xf numFmtId="164" fontId="2" fillId="2" borderId="6" xfId="0" applyNumberFormat="1" applyFont="1" applyFill="1" applyBorder="1"/>
    <xf numFmtId="164" fontId="0" fillId="15" borderId="8" xfId="0" applyNumberFormat="1" applyFill="1" applyBorder="1"/>
    <xf numFmtId="164" fontId="0" fillId="15" borderId="0" xfId="0" applyNumberFormat="1" applyFill="1"/>
    <xf numFmtId="164" fontId="0" fillId="15" borderId="12" xfId="0" applyNumberFormat="1" applyFill="1" applyBorder="1"/>
    <xf numFmtId="164" fontId="0" fillId="2" borderId="7" xfId="0" applyNumberFormat="1" applyFill="1" applyBorder="1" applyProtection="1">
      <protection locked="0"/>
    </xf>
    <xf numFmtId="41" fontId="2" fillId="7" borderId="99" xfId="0" applyNumberFormat="1" applyFont="1" applyFill="1" applyBorder="1" applyAlignment="1">
      <alignment horizontal="center" vertical="center"/>
    </xf>
    <xf numFmtId="41" fontId="2" fillId="7" borderId="99" xfId="0" applyNumberFormat="1" applyFont="1" applyFill="1" applyBorder="1"/>
    <xf numFmtId="0" fontId="0" fillId="8" borderId="35" xfId="0" applyFill="1" applyBorder="1" applyAlignment="1">
      <alignment horizontal="center" vertical="center"/>
    </xf>
    <xf numFmtId="41" fontId="0" fillId="7" borderId="99" xfId="0" applyNumberFormat="1" applyFill="1" applyBorder="1"/>
    <xf numFmtId="41" fontId="2" fillId="8" borderId="35" xfId="0" applyNumberFormat="1" applyFont="1" applyFill="1" applyBorder="1"/>
    <xf numFmtId="49" fontId="13" fillId="0" borderId="69" xfId="0" applyNumberFormat="1" applyFont="1" applyBorder="1" applyAlignment="1">
      <alignment horizontal="center" vertical="center" wrapText="1"/>
    </xf>
    <xf numFmtId="0" fontId="13" fillId="0" borderId="42" xfId="0" applyFont="1" applyBorder="1" applyAlignment="1">
      <alignment horizontal="center" vertical="center" wrapText="1"/>
    </xf>
    <xf numFmtId="0" fontId="1" fillId="0" borderId="69" xfId="0" applyFont="1" applyBorder="1" applyAlignment="1">
      <alignment horizontal="center" vertical="center" wrapText="1"/>
    </xf>
    <xf numFmtId="49" fontId="14" fillId="7" borderId="44" xfId="0" applyNumberFormat="1" applyFont="1" applyFill="1" applyBorder="1" applyAlignment="1">
      <alignment wrapText="1"/>
    </xf>
    <xf numFmtId="0" fontId="14" fillId="7" borderId="43" xfId="0" applyFont="1" applyFill="1" applyBorder="1" applyAlignment="1">
      <alignment wrapText="1"/>
    </xf>
    <xf numFmtId="0" fontId="14" fillId="7" borderId="69" xfId="0" applyFont="1" applyFill="1" applyBorder="1" applyAlignment="1">
      <alignment horizontal="center" wrapText="1"/>
    </xf>
    <xf numFmtId="49" fontId="14" fillId="0" borderId="44" xfId="0" applyNumberFormat="1" applyFont="1" applyBorder="1" applyAlignment="1">
      <alignment wrapText="1"/>
    </xf>
    <xf numFmtId="0" fontId="14" fillId="0" borderId="43" xfId="0" applyFont="1" applyBorder="1" applyAlignment="1">
      <alignment wrapText="1"/>
    </xf>
    <xf numFmtId="0" fontId="14" fillId="0" borderId="69" xfId="0" applyFont="1" applyBorder="1" applyAlignment="1">
      <alignment horizontal="center" wrapText="1"/>
    </xf>
    <xf numFmtId="0" fontId="14" fillId="0" borderId="0" xfId="0" applyFont="1" applyAlignment="1">
      <alignment horizontal="center" wrapText="1"/>
    </xf>
    <xf numFmtId="49" fontId="14" fillId="7" borderId="44" xfId="0" applyNumberFormat="1" applyFont="1" applyFill="1" applyBorder="1" applyAlignment="1">
      <alignment horizontal="left" wrapText="1"/>
    </xf>
    <xf numFmtId="0" fontId="14" fillId="7" borderId="43" xfId="0" applyFont="1" applyFill="1" applyBorder="1" applyAlignment="1">
      <alignment horizontal="left" wrapText="1"/>
    </xf>
    <xf numFmtId="49" fontId="14" fillId="0" borderId="44" xfId="0" applyNumberFormat="1" applyFont="1" applyBorder="1" applyAlignment="1">
      <alignment horizontal="left" wrapText="1"/>
    </xf>
    <xf numFmtId="49" fontId="14" fillId="7" borderId="43" xfId="0" applyNumberFormat="1" applyFont="1" applyFill="1" applyBorder="1" applyAlignment="1">
      <alignment wrapText="1"/>
    </xf>
    <xf numFmtId="0" fontId="3" fillId="10" borderId="97" xfId="1" applyFill="1" applyBorder="1" applyAlignment="1" applyProtection="1">
      <alignment horizontal="center" vertical="center" wrapText="1"/>
    </xf>
    <xf numFmtId="0" fontId="26" fillId="10" borderId="97" xfId="0" applyFont="1" applyFill="1" applyBorder="1" applyAlignment="1">
      <alignment wrapText="1"/>
    </xf>
    <xf numFmtId="0" fontId="2" fillId="7" borderId="6" xfId="0" applyFont="1" applyFill="1" applyBorder="1" applyAlignment="1">
      <alignment horizontal="center" wrapText="1"/>
    </xf>
    <xf numFmtId="166" fontId="2" fillId="7" borderId="101" xfId="0" applyNumberFormat="1" applyFont="1" applyFill="1" applyBorder="1" applyAlignment="1">
      <alignment horizontal="center" wrapText="1"/>
    </xf>
    <xf numFmtId="49" fontId="1" fillId="10" borderId="99" xfId="0" applyNumberFormat="1" applyFont="1" applyFill="1" applyBorder="1" applyAlignment="1" applyProtection="1">
      <alignment horizontal="center"/>
      <protection locked="0"/>
    </xf>
    <xf numFmtId="14" fontId="1" fillId="10" borderId="99" xfId="0" applyNumberFormat="1" applyFont="1" applyFill="1" applyBorder="1" applyAlignment="1" applyProtection="1">
      <alignment horizontal="center"/>
      <protection locked="0"/>
    </xf>
    <xf numFmtId="0" fontId="0" fillId="2" borderId="99" xfId="0" applyFill="1" applyBorder="1"/>
    <xf numFmtId="0" fontId="1" fillId="14" borderId="99" xfId="0" applyFont="1" applyFill="1" applyBorder="1" applyAlignment="1">
      <alignment horizontal="center"/>
    </xf>
    <xf numFmtId="0" fontId="2" fillId="5" borderId="99" xfId="0" applyFont="1" applyFill="1" applyBorder="1" applyAlignment="1" applyProtection="1">
      <alignment horizontal="center"/>
      <protection locked="0"/>
    </xf>
    <xf numFmtId="0" fontId="0" fillId="5" borderId="99" xfId="0" applyFill="1" applyBorder="1" applyAlignment="1" applyProtection="1">
      <alignment horizontal="center"/>
      <protection locked="0"/>
    </xf>
    <xf numFmtId="0" fontId="2" fillId="5" borderId="99" xfId="0" applyFont="1" applyFill="1" applyBorder="1" applyAlignment="1">
      <alignment horizontal="center"/>
    </xf>
    <xf numFmtId="0" fontId="0" fillId="0" borderId="99" xfId="0" applyBorder="1" applyAlignment="1">
      <alignment horizontal="center"/>
    </xf>
    <xf numFmtId="0" fontId="2" fillId="9" borderId="99" xfId="0" applyFont="1" applyFill="1" applyBorder="1" applyAlignment="1" applyProtection="1">
      <alignment horizontal="center"/>
      <protection locked="0"/>
    </xf>
    <xf numFmtId="0" fontId="0" fillId="9" borderId="99" xfId="0" applyFill="1" applyBorder="1" applyAlignment="1" applyProtection="1">
      <alignment horizontal="center"/>
      <protection locked="0"/>
    </xf>
    <xf numFmtId="0" fontId="2" fillId="9" borderId="99" xfId="0" applyFont="1" applyFill="1" applyBorder="1" applyAlignment="1">
      <alignment horizontal="center"/>
    </xf>
    <xf numFmtId="0" fontId="2" fillId="10" borderId="99" xfId="0" applyFont="1" applyFill="1" applyBorder="1" applyAlignment="1">
      <alignment horizontal="center"/>
    </xf>
    <xf numFmtId="0" fontId="0" fillId="0" borderId="99" xfId="0" applyBorder="1" applyAlignment="1" applyProtection="1">
      <alignment horizontal="center"/>
      <protection locked="0"/>
    </xf>
    <xf numFmtId="41" fontId="2" fillId="3" borderId="99" xfId="0" applyNumberFormat="1" applyFont="1" applyFill="1" applyBorder="1"/>
    <xf numFmtId="41" fontId="0" fillId="3" borderId="99" xfId="0" applyNumberFormat="1" applyFill="1" applyBorder="1" applyAlignment="1">
      <alignment horizontal="center"/>
    </xf>
    <xf numFmtId="41" fontId="0" fillId="8" borderId="99" xfId="0" applyNumberFormat="1" applyFill="1" applyBorder="1"/>
    <xf numFmtId="41" fontId="0" fillId="0" borderId="99" xfId="0" applyNumberFormat="1" applyBorder="1" applyAlignment="1">
      <alignment horizontal="center"/>
    </xf>
    <xf numFmtId="0" fontId="0" fillId="9" borderId="99" xfId="0" applyFill="1" applyBorder="1" applyAlignment="1">
      <alignment horizontal="center"/>
    </xf>
    <xf numFmtId="0" fontId="0" fillId="21" borderId="99" xfId="0" applyFill="1" applyBorder="1" applyAlignment="1" applyProtection="1">
      <alignment horizontal="center"/>
      <protection locked="0"/>
    </xf>
    <xf numFmtId="0" fontId="0" fillId="7" borderId="99" xfId="0" applyFill="1" applyBorder="1" applyAlignment="1">
      <alignment horizontal="right"/>
    </xf>
    <xf numFmtId="41" fontId="0" fillId="7" borderId="99" xfId="0" applyNumberFormat="1" applyFill="1" applyBorder="1" applyAlignment="1">
      <alignment horizontal="center" vertical="center"/>
    </xf>
    <xf numFmtId="0" fontId="0" fillId="7" borderId="99" xfId="0" applyFill="1" applyBorder="1" applyAlignment="1">
      <alignment horizontal="center"/>
    </xf>
    <xf numFmtId="0" fontId="0" fillId="3" borderId="99" xfId="0" applyFill="1" applyBorder="1"/>
    <xf numFmtId="0" fontId="2" fillId="7" borderId="99" xfId="0" applyFont="1" applyFill="1" applyBorder="1" applyAlignment="1">
      <alignment horizontal="center"/>
    </xf>
    <xf numFmtId="0" fontId="0" fillId="7" borderId="99" xfId="0" quotePrefix="1" applyFill="1" applyBorder="1" applyAlignment="1">
      <alignment horizontal="center"/>
    </xf>
    <xf numFmtId="0" fontId="2" fillId="8" borderId="99" xfId="0" applyFont="1" applyFill="1" applyBorder="1" applyAlignment="1">
      <alignment horizontal="center"/>
    </xf>
    <xf numFmtId="49" fontId="0" fillId="3" borderId="99" xfId="0" applyNumberFormat="1" applyFill="1" applyBorder="1"/>
    <xf numFmtId="41" fontId="0" fillId="2" borderId="99" xfId="0" applyNumberFormat="1" applyFill="1" applyBorder="1" applyAlignment="1" applyProtection="1">
      <alignment horizontal="center" vertical="center"/>
      <protection locked="0"/>
    </xf>
    <xf numFmtId="41" fontId="0" fillId="0" borderId="99" xfId="0" applyNumberFormat="1" applyBorder="1" applyProtection="1">
      <protection locked="0"/>
    </xf>
    <xf numFmtId="0" fontId="0" fillId="2" borderId="99" xfId="0" applyFill="1" applyBorder="1" applyAlignment="1">
      <alignment horizontal="center"/>
    </xf>
    <xf numFmtId="0" fontId="1" fillId="0" borderId="99" xfId="0" applyFont="1" applyBorder="1"/>
    <xf numFmtId="0" fontId="0" fillId="8" borderId="99" xfId="0" applyFill="1" applyBorder="1" applyAlignment="1">
      <alignment horizontal="center"/>
    </xf>
    <xf numFmtId="0" fontId="0" fillId="3" borderId="99" xfId="0" applyFill="1" applyBorder="1" applyAlignment="1">
      <alignment horizontal="center"/>
    </xf>
    <xf numFmtId="0" fontId="1" fillId="0" borderId="99" xfId="0" applyFont="1" applyBorder="1" applyAlignment="1">
      <alignment horizontal="left"/>
    </xf>
    <xf numFmtId="41" fontId="0" fillId="0" borderId="99" xfId="0" applyNumberFormat="1" applyBorder="1" applyAlignment="1" applyProtection="1">
      <alignment horizontal="center" vertical="center"/>
      <protection locked="0"/>
    </xf>
    <xf numFmtId="0" fontId="0" fillId="0" borderId="99" xfId="0" applyBorder="1" applyProtection="1">
      <protection locked="0"/>
    </xf>
    <xf numFmtId="0" fontId="0" fillId="7" borderId="99" xfId="0" applyFill="1" applyBorder="1"/>
    <xf numFmtId="0" fontId="1" fillId="7" borderId="73" xfId="0" applyFont="1" applyFill="1" applyBorder="1" applyAlignment="1">
      <alignment horizontal="center" vertical="center" wrapText="1"/>
    </xf>
    <xf numFmtId="0" fontId="0" fillId="7" borderId="74" xfId="0" applyFill="1" applyBorder="1" applyAlignment="1">
      <alignment horizontal="center" vertical="center" wrapText="1"/>
    </xf>
    <xf numFmtId="0" fontId="0" fillId="7" borderId="75" xfId="0" applyFill="1" applyBorder="1" applyAlignment="1">
      <alignment horizontal="center" vertical="center" wrapText="1"/>
    </xf>
    <xf numFmtId="0" fontId="1" fillId="7" borderId="74" xfId="0" applyFont="1" applyFill="1" applyBorder="1" applyAlignment="1">
      <alignment horizontal="center" vertical="center" wrapText="1"/>
    </xf>
    <xf numFmtId="0" fontId="1" fillId="7" borderId="75" xfId="0" applyFont="1" applyFill="1" applyBorder="1" applyAlignment="1">
      <alignment horizontal="center" vertical="center" wrapText="1"/>
    </xf>
    <xf numFmtId="0" fontId="1" fillId="7" borderId="98"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97" xfId="0" applyFont="1" applyFill="1" applyBorder="1" applyAlignment="1">
      <alignment horizontal="center" vertical="center" wrapText="1"/>
    </xf>
    <xf numFmtId="0" fontId="0" fillId="7" borderId="98" xfId="0" applyFill="1" applyBorder="1" applyAlignment="1">
      <alignment wrapText="1"/>
    </xf>
    <xf numFmtId="0" fontId="2" fillId="7" borderId="0" xfId="0" applyFont="1" applyFill="1" applyAlignment="1">
      <alignment vertical="center" wrapText="1"/>
    </xf>
    <xf numFmtId="0" fontId="2" fillId="7" borderId="15" xfId="0" applyFont="1" applyFill="1" applyBorder="1" applyAlignment="1">
      <alignment vertical="center" wrapText="1"/>
    </xf>
    <xf numFmtId="0" fontId="1" fillId="7" borderId="96" xfId="0" applyFont="1" applyFill="1" applyBorder="1" applyAlignment="1">
      <alignment horizontal="center" vertical="center" wrapText="1"/>
    </xf>
    <xf numFmtId="0" fontId="1" fillId="7" borderId="101" xfId="0" applyFont="1" applyFill="1" applyBorder="1" applyAlignment="1">
      <alignment horizontal="center" vertical="center" wrapText="1"/>
    </xf>
    <xf numFmtId="166" fontId="2" fillId="7" borderId="96" xfId="0" applyNumberFormat="1" applyFont="1" applyFill="1" applyBorder="1" applyAlignment="1">
      <alignment horizontal="center" vertical="center" wrapText="1"/>
    </xf>
    <xf numFmtId="166" fontId="2" fillId="7" borderId="97" xfId="0" applyNumberFormat="1" applyFont="1" applyFill="1" applyBorder="1" applyAlignment="1">
      <alignment horizontal="center" vertical="center" wrapText="1"/>
    </xf>
    <xf numFmtId="166" fontId="2" fillId="7" borderId="101" xfId="0" applyNumberFormat="1" applyFont="1" applyFill="1" applyBorder="1" applyAlignment="1">
      <alignment horizontal="center" vertical="center" wrapText="1"/>
    </xf>
    <xf numFmtId="166" fontId="2" fillId="7" borderId="102" xfId="0" applyNumberFormat="1" applyFont="1" applyFill="1" applyBorder="1" applyAlignment="1">
      <alignment horizontal="center" vertical="center" wrapText="1"/>
    </xf>
    <xf numFmtId="166" fontId="2" fillId="7" borderId="98" xfId="0" applyNumberFormat="1" applyFont="1" applyFill="1" applyBorder="1" applyAlignment="1">
      <alignment horizontal="center" vertical="center" wrapText="1"/>
    </xf>
    <xf numFmtId="49" fontId="14" fillId="10" borderId="78" xfId="0" applyNumberFormat="1" applyFont="1" applyFill="1" applyBorder="1" applyAlignment="1">
      <alignment horizontal="center" wrapText="1"/>
    </xf>
    <xf numFmtId="0" fontId="0" fillId="10" borderId="79" xfId="0" applyFill="1" applyBorder="1" applyAlignment="1">
      <alignment horizontal="center" wrapText="1"/>
    </xf>
    <xf numFmtId="0" fontId="0" fillId="10" borderId="42" xfId="0" applyFill="1" applyBorder="1" applyAlignment="1">
      <alignment horizontal="center" wrapText="1"/>
    </xf>
    <xf numFmtId="49" fontId="14" fillId="0" borderId="78" xfId="0" applyNumberFormat="1" applyFont="1" applyBorder="1" applyAlignment="1">
      <alignment wrapText="1"/>
    </xf>
    <xf numFmtId="0" fontId="0" fillId="0" borderId="79" xfId="0" applyBorder="1" applyAlignment="1">
      <alignment wrapText="1"/>
    </xf>
    <xf numFmtId="0" fontId="0" fillId="0" borderId="42" xfId="0" applyBorder="1" applyAlignment="1">
      <alignment wrapText="1"/>
    </xf>
    <xf numFmtId="0" fontId="14" fillId="7" borderId="80"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2" fillId="12" borderId="0" xfId="0" applyFont="1" applyFill="1" applyAlignment="1">
      <alignment horizontal="left" vertical="center"/>
    </xf>
    <xf numFmtId="49" fontId="1" fillId="12" borderId="2" xfId="0" applyNumberFormat="1" applyFont="1" applyFill="1" applyBorder="1" applyAlignment="1">
      <alignment horizontal="center" vertical="center"/>
    </xf>
    <xf numFmtId="0" fontId="1" fillId="0" borderId="0" xfId="0" applyFont="1" applyAlignment="1">
      <alignment horizontal="center"/>
    </xf>
    <xf numFmtId="0" fontId="0" fillId="0" borderId="9" xfId="0" applyBorder="1" applyAlignment="1">
      <alignment horizontal="center" vertical="center"/>
    </xf>
    <xf numFmtId="0" fontId="0" fillId="0" borderId="5" xfId="0" applyBorder="1" applyAlignment="1">
      <alignment vertical="center"/>
    </xf>
    <xf numFmtId="49" fontId="1" fillId="17" borderId="2" xfId="0" applyNumberFormat="1" applyFont="1" applyFill="1" applyBorder="1" applyAlignment="1">
      <alignment horizontal="center"/>
    </xf>
    <xf numFmtId="0" fontId="1" fillId="19" borderId="58" xfId="0" applyFont="1" applyFill="1" applyBorder="1" applyAlignment="1">
      <alignment horizontal="left" wrapText="1"/>
    </xf>
    <xf numFmtId="0" fontId="0" fillId="19" borderId="0" xfId="0" applyFill="1" applyAlignment="1">
      <alignment horizontal="left" wrapText="1"/>
    </xf>
    <xf numFmtId="0" fontId="5" fillId="0" borderId="11" xfId="0" applyFont="1" applyBorder="1" applyAlignment="1">
      <alignment horizontal="center" vertical="center"/>
    </xf>
    <xf numFmtId="0" fontId="0" fillId="0" borderId="16" xfId="0" applyBorder="1" applyAlignment="1">
      <alignment horizontal="center"/>
    </xf>
    <xf numFmtId="0" fontId="0" fillId="0" borderId="20" xfId="0" applyBorder="1" applyAlignment="1">
      <alignment horizontal="center"/>
    </xf>
    <xf numFmtId="0" fontId="0" fillId="2" borderId="9" xfId="0" applyFill="1" applyBorder="1" applyAlignment="1">
      <alignment horizontal="center" vertical="center"/>
    </xf>
    <xf numFmtId="0" fontId="0" fillId="0" borderId="5" xfId="0" applyBorder="1" applyAlignment="1">
      <alignment horizontal="center" vertical="center"/>
    </xf>
    <xf numFmtId="0" fontId="0" fillId="2" borderId="26" xfId="0" applyFill="1" applyBorder="1" applyAlignment="1">
      <alignment horizontal="center" vertical="center"/>
    </xf>
    <xf numFmtId="0" fontId="0" fillId="0" borderId="29" xfId="0" applyBorder="1" applyAlignment="1">
      <alignment horizontal="center" vertical="center"/>
    </xf>
    <xf numFmtId="41" fontId="2" fillId="12" borderId="0" xfId="0" applyNumberFormat="1" applyFont="1" applyFill="1" applyAlignment="1">
      <alignment horizontal="left" vertical="center"/>
    </xf>
    <xf numFmtId="0" fontId="0" fillId="0" borderId="0" xfId="0" applyAlignment="1">
      <alignment horizontal="left" vertical="center"/>
    </xf>
    <xf numFmtId="49" fontId="9" fillId="5" borderId="0" xfId="0" applyNumberFormat="1" applyFont="1" applyFill="1" applyAlignment="1">
      <alignment horizontal="center" vertical="center" wrapText="1"/>
    </xf>
    <xf numFmtId="0" fontId="9" fillId="0" borderId="0" xfId="0" applyFont="1" applyAlignment="1">
      <alignment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14" borderId="99" xfId="0" applyFont="1" applyFill="1" applyBorder="1" applyAlignment="1">
      <alignment horizontal="center"/>
    </xf>
    <xf numFmtId="0" fontId="1" fillId="0" borderId="99" xfId="0" applyFont="1" applyBorder="1" applyAlignment="1">
      <alignment horizontal="center"/>
    </xf>
    <xf numFmtId="0" fontId="16" fillId="7" borderId="11" xfId="0" applyFont="1" applyFill="1" applyBorder="1" applyAlignment="1">
      <alignment horizontal="center" vertical="center"/>
    </xf>
    <xf numFmtId="0" fontId="16" fillId="7" borderId="16" xfId="0" applyFont="1" applyFill="1" applyBorder="1" applyAlignment="1">
      <alignment horizontal="center" vertical="center"/>
    </xf>
    <xf numFmtId="0" fontId="17" fillId="0" borderId="20" xfId="0" applyFont="1" applyBorder="1" applyAlignment="1">
      <alignment horizontal="center"/>
    </xf>
    <xf numFmtId="0" fontId="0" fillId="0" borderId="16" xfId="0" applyBorder="1" applyAlignment="1">
      <alignment vertical="center"/>
    </xf>
    <xf numFmtId="0" fontId="0" fillId="0" borderId="20" xfId="0" applyBorder="1" applyAlignment="1">
      <alignment vertical="center"/>
    </xf>
    <xf numFmtId="0" fontId="1" fillId="0" borderId="11" xfId="0" applyFont="1" applyBorder="1" applyAlignment="1">
      <alignment horizontal="right"/>
    </xf>
    <xf numFmtId="0" fontId="0" fillId="0" borderId="20" xfId="0" applyBorder="1" applyAlignment="1">
      <alignment horizontal="right"/>
    </xf>
    <xf numFmtId="49" fontId="1" fillId="12" borderId="0" xfId="0" applyNumberFormat="1" applyFont="1" applyFill="1" applyAlignment="1">
      <alignment horizontal="center" vertical="center"/>
    </xf>
    <xf numFmtId="49" fontId="0" fillId="0" borderId="12" xfId="0" applyNumberFormat="1" applyBorder="1" applyAlignment="1">
      <alignment horizontal="left" indent="1"/>
    </xf>
    <xf numFmtId="0" fontId="0" fillId="0" borderId="7" xfId="0" applyBorder="1" applyAlignment="1">
      <alignment horizontal="left" indent="1"/>
    </xf>
    <xf numFmtId="0" fontId="0" fillId="0" borderId="11" xfId="0" applyBorder="1" applyAlignment="1">
      <alignment horizontal="center"/>
    </xf>
    <xf numFmtId="41" fontId="22" fillId="8" borderId="0" xfId="0" applyNumberFormat="1" applyFont="1" applyFill="1" applyAlignment="1">
      <alignment horizontal="left" vertical="center" wrapText="1"/>
    </xf>
    <xf numFmtId="0" fontId="6" fillId="8" borderId="0" xfId="0" applyFont="1" applyFill="1" applyAlignment="1">
      <alignment horizontal="left" wrapText="1"/>
    </xf>
    <xf numFmtId="0" fontId="1" fillId="2" borderId="36" xfId="0" applyFont="1" applyFill="1" applyBorder="1" applyAlignment="1">
      <alignment horizontal="center" vertical="center" wrapText="1"/>
    </xf>
    <xf numFmtId="0" fontId="1" fillId="2" borderId="76" xfId="0" applyFont="1" applyFill="1" applyBorder="1" applyAlignment="1">
      <alignment horizontal="center" vertical="center" wrapText="1"/>
    </xf>
    <xf numFmtId="41" fontId="1" fillId="15" borderId="11" xfId="0" applyNumberFormat="1" applyFont="1" applyFill="1" applyBorder="1" applyAlignment="1">
      <alignment horizontal="left"/>
    </xf>
    <xf numFmtId="0" fontId="0" fillId="15" borderId="7" xfId="0" applyFill="1" applyBorder="1" applyAlignment="1">
      <alignment horizontal="left"/>
    </xf>
    <xf numFmtId="0" fontId="0" fillId="0" borderId="0" xfId="0" applyAlignment="1">
      <alignment horizontal="right"/>
    </xf>
    <xf numFmtId="0" fontId="0" fillId="0" borderId="2" xfId="0" applyBorder="1" applyAlignment="1">
      <alignment horizontal="right"/>
    </xf>
    <xf numFmtId="0" fontId="0" fillId="0" borderId="3" xfId="0" applyBorder="1" applyAlignment="1">
      <alignment horizontal="right"/>
    </xf>
    <xf numFmtId="0" fontId="2" fillId="0" borderId="0" xfId="0" applyFont="1" applyAlignment="1">
      <alignment horizontal="right"/>
    </xf>
    <xf numFmtId="0" fontId="2" fillId="2" borderId="26" xfId="0" applyFont="1" applyFill="1" applyBorder="1" applyAlignment="1">
      <alignment horizontal="center" vertical="center"/>
    </xf>
    <xf numFmtId="0" fontId="0" fillId="0" borderId="40" xfId="0" applyBorder="1" applyAlignment="1">
      <alignment vertical="center"/>
    </xf>
    <xf numFmtId="0" fontId="1" fillId="0" borderId="15" xfId="0" applyFont="1" applyBorder="1" applyAlignment="1">
      <alignment horizontal="right"/>
    </xf>
    <xf numFmtId="0" fontId="1" fillId="0" borderId="34" xfId="0" applyFont="1" applyBorder="1" applyAlignment="1">
      <alignment horizontal="right"/>
    </xf>
    <xf numFmtId="0" fontId="1" fillId="0" borderId="34" xfId="0" applyFont="1" applyBorder="1" applyAlignment="1">
      <alignment horizontal="center"/>
    </xf>
    <xf numFmtId="0" fontId="1" fillId="2" borderId="6" xfId="0" applyFont="1" applyFill="1" applyBorder="1" applyAlignment="1">
      <alignment horizontal="center"/>
    </xf>
    <xf numFmtId="0" fontId="0" fillId="0" borderId="1" xfId="0" applyBorder="1" applyAlignment="1">
      <alignment horizontal="right"/>
    </xf>
    <xf numFmtId="0" fontId="0" fillId="0" borderId="4" xfId="0" applyBorder="1" applyAlignment="1">
      <alignment horizontal="right"/>
    </xf>
    <xf numFmtId="0" fontId="0" fillId="15" borderId="20" xfId="0" applyFill="1" applyBorder="1" applyAlignment="1">
      <alignment horizontal="left"/>
    </xf>
    <xf numFmtId="0" fontId="0" fillId="0" borderId="12" xfId="0" applyBorder="1" applyAlignment="1">
      <alignment horizontal="right"/>
    </xf>
    <xf numFmtId="0" fontId="0" fillId="0" borderId="7" xfId="0" applyBorder="1" applyAlignment="1">
      <alignment horizontal="right"/>
    </xf>
    <xf numFmtId="0" fontId="26" fillId="0" borderId="11" xfId="0" applyFont="1" applyBorder="1" applyAlignment="1">
      <alignment horizontal="right"/>
    </xf>
    <xf numFmtId="0" fontId="1" fillId="0" borderId="16" xfId="0" applyFont="1" applyBorder="1" applyAlignment="1">
      <alignment horizontal="right"/>
    </xf>
    <xf numFmtId="0" fontId="2" fillId="2" borderId="11" xfId="0" applyFont="1" applyFill="1" applyBorder="1" applyAlignment="1">
      <alignment horizontal="center"/>
    </xf>
    <xf numFmtId="0" fontId="1" fillId="0" borderId="20" xfId="0" applyFont="1" applyBorder="1" applyAlignment="1">
      <alignment horizontal="right"/>
    </xf>
    <xf numFmtId="0" fontId="1" fillId="10" borderId="11" xfId="0" applyFont="1" applyFill="1" applyBorder="1" applyAlignment="1" applyProtection="1">
      <alignment horizontal="center"/>
      <protection locked="0"/>
    </xf>
    <xf numFmtId="0" fontId="1" fillId="10" borderId="39" xfId="0" applyFont="1" applyFill="1" applyBorder="1" applyAlignment="1" applyProtection="1">
      <alignment horizontal="center"/>
      <protection locked="0"/>
    </xf>
    <xf numFmtId="0" fontId="1" fillId="15" borderId="1" xfId="0" applyFont="1" applyFill="1" applyBorder="1" applyAlignment="1">
      <alignment horizontal="center" wrapText="1"/>
    </xf>
    <xf numFmtId="0" fontId="1" fillId="15" borderId="4" xfId="0" applyFont="1" applyFill="1" applyBorder="1" applyAlignment="1">
      <alignment wrapText="1"/>
    </xf>
    <xf numFmtId="0" fontId="1" fillId="15" borderId="2" xfId="0" applyFont="1" applyFill="1" applyBorder="1" applyAlignment="1">
      <alignment horizontal="center" wrapText="1"/>
    </xf>
    <xf numFmtId="0" fontId="1" fillId="15" borderId="3" xfId="0" applyFont="1" applyFill="1" applyBorder="1" applyAlignment="1">
      <alignment horizontal="center" wrapText="1"/>
    </xf>
    <xf numFmtId="0" fontId="1" fillId="10" borderId="20" xfId="0" applyFont="1" applyFill="1" applyBorder="1" applyAlignment="1" applyProtection="1">
      <alignment horizontal="center"/>
      <protection locked="0"/>
    </xf>
    <xf numFmtId="0" fontId="2" fillId="0" borderId="0" xfId="0" applyFont="1" applyAlignment="1">
      <alignment horizontal="center" vertical="center"/>
    </xf>
    <xf numFmtId="0" fontId="0" fillId="0" borderId="0" xfId="0" applyAlignment="1">
      <alignment horizontal="center" vertical="center"/>
    </xf>
    <xf numFmtId="49" fontId="0" fillId="0" borderId="2" xfId="0" applyNumberFormat="1" applyBorder="1" applyAlignment="1">
      <alignment horizontal="right"/>
    </xf>
    <xf numFmtId="49" fontId="1" fillId="10" borderId="11" xfId="0" applyNumberFormat="1" applyFont="1" applyFill="1" applyBorder="1" applyAlignment="1" applyProtection="1">
      <alignment horizontal="center"/>
      <protection locked="0"/>
    </xf>
    <xf numFmtId="49" fontId="0" fillId="10" borderId="39" xfId="0" applyNumberFormat="1" applyFill="1" applyBorder="1" applyAlignment="1" applyProtection="1">
      <alignment horizontal="center"/>
      <protection locked="0"/>
    </xf>
    <xf numFmtId="0" fontId="2" fillId="14" borderId="0" xfId="0" applyFont="1" applyFill="1" applyAlignment="1">
      <alignment vertical="center"/>
    </xf>
    <xf numFmtId="0" fontId="0" fillId="0" borderId="0" xfId="0" applyAlignment="1">
      <alignment vertical="center"/>
    </xf>
    <xf numFmtId="14" fontId="1" fillId="10" borderId="11" xfId="0" applyNumberFormat="1" applyFont="1" applyFill="1" applyBorder="1" applyAlignment="1" applyProtection="1">
      <alignment horizontal="center"/>
      <protection locked="0"/>
    </xf>
    <xf numFmtId="0" fontId="4" fillId="0" borderId="9" xfId="0" applyFont="1" applyBorder="1" applyAlignment="1">
      <alignment horizontal="center" vertical="center" wrapText="1"/>
    </xf>
    <xf numFmtId="0" fontId="0" fillId="0" borderId="10" xfId="0" applyBorder="1" applyAlignment="1">
      <alignment horizontal="center" vertical="center"/>
    </xf>
    <xf numFmtId="0" fontId="0" fillId="2" borderId="1" xfId="0" applyFill="1" applyBorder="1" applyAlignment="1">
      <alignment horizontal="center" vertical="center" wrapText="1"/>
    </xf>
    <xf numFmtId="0" fontId="0" fillId="0" borderId="2" xfId="0" applyBorder="1" applyAlignment="1">
      <alignment horizontal="center" vertical="center" wrapText="1"/>
    </xf>
    <xf numFmtId="0" fontId="2" fillId="2" borderId="9" xfId="0" applyFont="1" applyFill="1" applyBorder="1" applyAlignment="1">
      <alignment horizontal="center" wrapText="1"/>
    </xf>
    <xf numFmtId="0" fontId="0" fillId="0" borderId="5" xfId="0" applyBorder="1" applyAlignment="1">
      <alignment horizontal="center" wrapText="1"/>
    </xf>
    <xf numFmtId="0" fontId="1" fillId="0" borderId="8" xfId="0" applyFont="1" applyBorder="1" applyAlignment="1">
      <alignment horizontal="center" vertical="center"/>
    </xf>
    <xf numFmtId="49" fontId="5" fillId="5" borderId="8" xfId="0" applyNumberFormat="1" applyFont="1" applyFill="1" applyBorder="1" applyAlignment="1">
      <alignment horizontal="center" vertical="center"/>
    </xf>
    <xf numFmtId="0" fontId="6" fillId="0" borderId="8" xfId="0" applyFont="1" applyBorder="1" applyAlignment="1">
      <alignment vertical="center"/>
    </xf>
    <xf numFmtId="0" fontId="6" fillId="0" borderId="0" xfId="0" applyFont="1" applyAlignment="1">
      <alignment vertical="center"/>
    </xf>
    <xf numFmtId="0" fontId="0" fillId="0" borderId="12" xfId="0" applyBorder="1" applyAlignment="1">
      <alignment horizontal="left" indent="1"/>
    </xf>
    <xf numFmtId="0" fontId="1" fillId="0" borderId="81" xfId="0" applyFont="1" applyBorder="1" applyAlignment="1">
      <alignment horizontal="left"/>
    </xf>
    <xf numFmtId="0" fontId="1" fillId="0" borderId="57"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0" fillId="0" borderId="64" xfId="0" applyBorder="1" applyAlignment="1">
      <alignment horizontal="left" indent="1"/>
    </xf>
    <xf numFmtId="0" fontId="0" fillId="0" borderId="50" xfId="0" applyBorder="1" applyAlignment="1">
      <alignment horizontal="left" indent="1"/>
    </xf>
    <xf numFmtId="0" fontId="1" fillId="16" borderId="11" xfId="0" applyFont="1" applyFill="1" applyBorder="1" applyAlignment="1">
      <alignment horizontal="left"/>
    </xf>
    <xf numFmtId="0" fontId="1" fillId="16" borderId="4" xfId="0" applyFont="1" applyFill="1" applyBorder="1" applyAlignment="1">
      <alignment horizontal="left"/>
    </xf>
    <xf numFmtId="0" fontId="0" fillId="0" borderId="1"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49" fontId="0" fillId="0" borderId="12" xfId="0" applyNumberFormat="1" applyBorder="1" applyAlignment="1">
      <alignment horizontal="right"/>
    </xf>
    <xf numFmtId="0" fontId="2" fillId="0" borderId="2" xfId="0" applyFont="1" applyBorder="1" applyAlignment="1">
      <alignment horizontal="right"/>
    </xf>
    <xf numFmtId="0" fontId="2" fillId="2" borderId="9" xfId="0" applyFont="1" applyFill="1" applyBorder="1" applyAlignment="1">
      <alignment horizontal="center" vertical="center"/>
    </xf>
    <xf numFmtId="0" fontId="0" fillId="0" borderId="37" xfId="0" applyBorder="1" applyAlignment="1">
      <alignment vertical="center"/>
    </xf>
    <xf numFmtId="0" fontId="2" fillId="0" borderId="9" xfId="0" applyFont="1" applyBorder="1" applyAlignment="1">
      <alignment horizontal="center" vertical="center" wrapText="1"/>
    </xf>
    <xf numFmtId="0" fontId="0" fillId="0" borderId="37" xfId="0" applyBorder="1" applyAlignment="1">
      <alignment vertical="center" wrapText="1"/>
    </xf>
    <xf numFmtId="0" fontId="1" fillId="0" borderId="1" xfId="0" applyFont="1" applyBorder="1" applyAlignment="1">
      <alignment horizontal="center" vertical="center" wrapText="1"/>
    </xf>
    <xf numFmtId="0" fontId="0" fillId="0" borderId="8"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1" fillId="2" borderId="28" xfId="0" applyFont="1" applyFill="1" applyBorder="1" applyAlignment="1">
      <alignment horizontal="center"/>
    </xf>
    <xf numFmtId="0" fontId="0" fillId="0" borderId="28" xfId="0" applyBorder="1" applyAlignment="1">
      <alignment horizontal="center"/>
    </xf>
    <xf numFmtId="0" fontId="0" fillId="0" borderId="45" xfId="0" applyBorder="1" applyAlignment="1">
      <alignment horizontal="center"/>
    </xf>
    <xf numFmtId="0" fontId="0" fillId="0" borderId="37" xfId="0" applyBorder="1" applyAlignment="1">
      <alignment horizontal="center" vertical="center"/>
    </xf>
    <xf numFmtId="0" fontId="0" fillId="0" borderId="8" xfId="0" applyBorder="1" applyAlignment="1">
      <alignment horizontal="right"/>
    </xf>
    <xf numFmtId="0" fontId="2" fillId="0" borderId="8" xfId="0" applyFont="1" applyBorder="1" applyAlignment="1">
      <alignment horizontal="right"/>
    </xf>
    <xf numFmtId="0" fontId="2" fillId="7" borderId="0" xfId="0" applyFont="1" applyFill="1" applyAlignment="1">
      <alignment horizontal="center"/>
    </xf>
    <xf numFmtId="0" fontId="0" fillId="7" borderId="0" xfId="0" applyFill="1" applyAlignment="1">
      <alignment horizontal="center"/>
    </xf>
    <xf numFmtId="0" fontId="6" fillId="23" borderId="0" xfId="0" applyFont="1" applyFill="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center" wrapText="1"/>
    </xf>
    <xf numFmtId="0" fontId="30" fillId="21" borderId="0" xfId="0" applyFont="1" applyFill="1" applyAlignment="1">
      <alignment horizontal="left" vertical="center"/>
    </xf>
    <xf numFmtId="0" fontId="30" fillId="21" borderId="6" xfId="0" applyFont="1" applyFill="1" applyBorder="1" applyAlignment="1">
      <alignment horizontal="left" vertical="center"/>
    </xf>
    <xf numFmtId="0" fontId="32" fillId="22" borderId="6" xfId="0" applyFont="1" applyFill="1" applyBorder="1" applyAlignment="1">
      <alignment horizontal="center" vertical="center"/>
    </xf>
    <xf numFmtId="0" fontId="6" fillId="0" borderId="16" xfId="0" applyFont="1" applyBorder="1" applyAlignment="1">
      <alignment vertical="center"/>
    </xf>
    <xf numFmtId="0" fontId="6" fillId="0" borderId="20" xfId="0" applyFont="1" applyBorder="1" applyAlignment="1">
      <alignment vertical="center"/>
    </xf>
    <xf numFmtId="0" fontId="1" fillId="15" borderId="2"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5" fillId="7" borderId="12" xfId="0" applyFont="1" applyFill="1" applyBorder="1" applyAlignment="1">
      <alignment horizontal="center" wrapText="1"/>
    </xf>
    <xf numFmtId="0" fontId="5" fillId="7" borderId="6" xfId="0" applyFont="1" applyFill="1" applyBorder="1" applyAlignment="1">
      <alignment horizontal="center" wrapText="1"/>
    </xf>
    <xf numFmtId="0" fontId="0" fillId="2" borderId="9" xfId="0" applyFill="1" applyBorder="1" applyAlignment="1">
      <alignment horizontal="center" vertical="center" wrapText="1"/>
    </xf>
    <xf numFmtId="0" fontId="0" fillId="0" borderId="10" xfId="0" applyBorder="1" applyAlignment="1">
      <alignment horizontal="center" vertical="center" wrapText="1"/>
    </xf>
    <xf numFmtId="0" fontId="0" fillId="4" borderId="9" xfId="0" applyFill="1" applyBorder="1" applyAlignment="1">
      <alignment horizontal="center" vertical="center" wrapText="1"/>
    </xf>
    <xf numFmtId="0" fontId="0" fillId="0" borderId="5" xfId="0" applyBorder="1" applyAlignment="1">
      <alignment horizontal="center" vertical="center" wrapText="1"/>
    </xf>
    <xf numFmtId="0" fontId="1" fillId="0" borderId="11" xfId="0" applyFont="1" applyBorder="1" applyAlignment="1">
      <alignment horizontal="center"/>
    </xf>
    <xf numFmtId="0" fontId="1" fillId="0" borderId="20" xfId="0" applyFont="1" applyBorder="1" applyAlignment="1">
      <alignment horizontal="center"/>
    </xf>
    <xf numFmtId="0" fontId="1" fillId="7" borderId="11" xfId="0" applyFont="1" applyFill="1" applyBorder="1" applyAlignment="1">
      <alignment horizontal="center"/>
    </xf>
    <xf numFmtId="0" fontId="0" fillId="7" borderId="16" xfId="0" applyFill="1" applyBorder="1" applyAlignment="1">
      <alignment horizontal="center"/>
    </xf>
    <xf numFmtId="0" fontId="0" fillId="7" borderId="20" xfId="0" applyFill="1" applyBorder="1" applyAlignment="1">
      <alignment horizontal="center"/>
    </xf>
    <xf numFmtId="0" fontId="1" fillId="2" borderId="11" xfId="0" applyFont="1" applyFill="1" applyBorder="1" applyAlignment="1">
      <alignment horizontal="center"/>
    </xf>
    <xf numFmtId="0" fontId="1" fillId="0" borderId="16" xfId="0" applyFont="1" applyBorder="1" applyAlignment="1">
      <alignment horizontal="center"/>
    </xf>
    <xf numFmtId="0" fontId="1" fillId="4"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 fillId="0" borderId="0" xfId="0" applyFont="1" applyAlignment="1">
      <alignment horizontal="center" vertical="center"/>
    </xf>
    <xf numFmtId="0" fontId="1" fillId="7" borderId="11" xfId="0" applyFont="1" applyFill="1" applyBorder="1" applyAlignment="1">
      <alignment horizontal="left"/>
    </xf>
    <xf numFmtId="14" fontId="1" fillId="7" borderId="11" xfId="0" applyNumberFormat="1" applyFont="1" applyFill="1" applyBorder="1" applyAlignment="1">
      <alignment horizontal="center"/>
    </xf>
    <xf numFmtId="14" fontId="0" fillId="7" borderId="20" xfId="0" applyNumberFormat="1" applyFill="1" applyBorder="1" applyAlignment="1">
      <alignment horizontal="center"/>
    </xf>
    <xf numFmtId="0" fontId="1" fillId="7" borderId="20" xfId="0" applyFont="1" applyFill="1" applyBorder="1" applyAlignment="1">
      <alignment horizontal="center"/>
    </xf>
    <xf numFmtId="0" fontId="0" fillId="7" borderId="11" xfId="0" applyFill="1" applyBorder="1" applyAlignment="1">
      <alignment horizontal="center"/>
    </xf>
    <xf numFmtId="41" fontId="2" fillId="8" borderId="9" xfId="0" applyNumberFormat="1" applyFont="1" applyFill="1" applyBorder="1" applyAlignment="1">
      <alignment horizontal="center" vertical="center"/>
    </xf>
    <xf numFmtId="0" fontId="0" fillId="8" borderId="10" xfId="0" applyFill="1" applyBorder="1" applyAlignment="1">
      <alignment horizontal="center"/>
    </xf>
    <xf numFmtId="0" fontId="0" fillId="8" borderId="5" xfId="0" applyFill="1" applyBorder="1" applyAlignment="1">
      <alignment horizontal="center"/>
    </xf>
    <xf numFmtId="0" fontId="0" fillId="0" borderId="49" xfId="0" applyBorder="1" applyAlignment="1">
      <alignment horizontal="left" indent="1"/>
    </xf>
    <xf numFmtId="49" fontId="0" fillId="0" borderId="6" xfId="0" applyNumberFormat="1" applyBorder="1" applyAlignment="1">
      <alignment horizontal="left" indent="1"/>
    </xf>
    <xf numFmtId="0" fontId="0" fillId="0" borderId="6" xfId="0" applyBorder="1" applyAlignment="1">
      <alignment horizontal="left" indent="1"/>
    </xf>
    <xf numFmtId="41" fontId="2" fillId="8" borderId="11" xfId="0" applyNumberFormat="1" applyFont="1" applyFill="1" applyBorder="1" applyAlignment="1">
      <alignment horizontal="center" vertical="center"/>
    </xf>
    <xf numFmtId="0" fontId="0" fillId="0" borderId="20" xfId="0" applyBorder="1" applyAlignment="1">
      <alignment horizontal="center" vertical="center"/>
    </xf>
    <xf numFmtId="41" fontId="2" fillId="4" borderId="9" xfId="0" applyNumberFormat="1" applyFont="1" applyFill="1" applyBorder="1" applyAlignment="1">
      <alignment horizontal="center" vertical="center"/>
    </xf>
    <xf numFmtId="0" fontId="0" fillId="0" borderId="10" xfId="0" applyBorder="1" applyAlignment="1">
      <alignment horizontal="center"/>
    </xf>
    <xf numFmtId="0" fontId="0" fillId="0" borderId="5" xfId="0" applyBorder="1" applyAlignment="1">
      <alignment horizontal="center"/>
    </xf>
    <xf numFmtId="49" fontId="0" fillId="0" borderId="0" xfId="0" applyNumberFormat="1" applyAlignment="1">
      <alignment horizontal="right"/>
    </xf>
    <xf numFmtId="0" fontId="2" fillId="0" borderId="11" xfId="0" applyFont="1" applyBorder="1" applyAlignment="1">
      <alignment horizontal="center"/>
    </xf>
    <xf numFmtId="0" fontId="2" fillId="0" borderId="16" xfId="0" applyFont="1" applyBorder="1" applyAlignment="1">
      <alignment horizontal="center"/>
    </xf>
    <xf numFmtId="0" fontId="0" fillId="0" borderId="5" xfId="0" applyBorder="1" applyAlignment="1">
      <alignment vertical="center" wrapText="1"/>
    </xf>
    <xf numFmtId="0" fontId="0" fillId="4" borderId="99" xfId="0" applyFill="1" applyBorder="1" applyAlignment="1">
      <alignment horizontal="center" vertical="center" wrapText="1"/>
    </xf>
    <xf numFmtId="0" fontId="0" fillId="0" borderId="99" xfId="0" applyBorder="1" applyAlignment="1">
      <alignment horizontal="center" vertical="center" wrapText="1"/>
    </xf>
    <xf numFmtId="0" fontId="1" fillId="0" borderId="55" xfId="0" applyFont="1" applyBorder="1" applyAlignment="1">
      <alignment horizontal="right"/>
    </xf>
    <xf numFmtId="0" fontId="1" fillId="0" borderId="8" xfId="0" applyFont="1" applyBorder="1" applyAlignment="1">
      <alignment horizontal="right"/>
    </xf>
    <xf numFmtId="0" fontId="1" fillId="0" borderId="73" xfId="0" applyFont="1" applyBorder="1" applyAlignment="1">
      <alignment horizontal="right"/>
    </xf>
    <xf numFmtId="0" fontId="2" fillId="8" borderId="1" xfId="0" applyFont="1" applyFill="1" applyBorder="1" applyAlignment="1">
      <alignment horizontal="center" vertical="center"/>
    </xf>
    <xf numFmtId="0" fontId="0" fillId="8" borderId="4" xfId="0" applyFill="1" applyBorder="1" applyAlignment="1">
      <alignment horizontal="center" vertical="center"/>
    </xf>
    <xf numFmtId="0" fontId="0" fillId="8" borderId="12" xfId="0" applyFill="1" applyBorder="1" applyAlignment="1">
      <alignment horizontal="center" vertical="center"/>
    </xf>
    <xf numFmtId="0" fontId="0" fillId="8" borderId="7" xfId="0" applyFill="1" applyBorder="1" applyAlignment="1">
      <alignment horizontal="center" vertical="center"/>
    </xf>
    <xf numFmtId="41" fontId="2" fillId="8" borderId="1" xfId="0" applyNumberFormat="1" applyFon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8" borderId="48" xfId="0" applyFill="1" applyBorder="1" applyAlignment="1">
      <alignment horizontal="center" vertical="center"/>
    </xf>
    <xf numFmtId="0" fontId="0" fillId="8" borderId="33" xfId="0" applyFill="1" applyBorder="1" applyAlignment="1">
      <alignment horizontal="center" vertical="center"/>
    </xf>
    <xf numFmtId="0" fontId="0" fillId="8" borderId="8" xfId="0" applyFill="1" applyBorder="1" applyAlignment="1">
      <alignment horizontal="center" vertical="center"/>
    </xf>
    <xf numFmtId="0" fontId="0" fillId="8" borderId="6" xfId="0" applyFill="1" applyBorder="1" applyAlignment="1">
      <alignment horizontal="center" vertical="center"/>
    </xf>
    <xf numFmtId="0" fontId="0" fillId="0" borderId="6" xfId="0" applyBorder="1" applyAlignment="1">
      <alignment horizontal="right"/>
    </xf>
    <xf numFmtId="41" fontId="0" fillId="8" borderId="1" xfId="0" applyNumberFormat="1" applyFill="1" applyBorder="1" applyAlignment="1">
      <alignment horizontal="center" vertical="center"/>
    </xf>
    <xf numFmtId="14" fontId="1" fillId="7" borderId="16" xfId="0" applyNumberFormat="1" applyFont="1" applyFill="1" applyBorder="1" applyAlignment="1">
      <alignment horizontal="center"/>
    </xf>
    <xf numFmtId="14" fontId="1" fillId="7" borderId="20" xfId="0" applyNumberFormat="1" applyFont="1" applyFill="1" applyBorder="1" applyAlignment="1">
      <alignment horizontal="center"/>
    </xf>
    <xf numFmtId="14" fontId="1" fillId="0" borderId="11" xfId="0" applyNumberFormat="1" applyFont="1" applyBorder="1" applyAlignment="1">
      <alignment horizontal="right"/>
    </xf>
    <xf numFmtId="14" fontId="1" fillId="0" borderId="16" xfId="0" applyNumberFormat="1" applyFont="1" applyBorder="1" applyAlignment="1">
      <alignment horizontal="right"/>
    </xf>
    <xf numFmtId="14" fontId="1" fillId="0" borderId="20" xfId="0" applyNumberFormat="1" applyFont="1" applyBorder="1" applyAlignment="1">
      <alignment horizontal="right"/>
    </xf>
    <xf numFmtId="0" fontId="1" fillId="15" borderId="11" xfId="0" applyFont="1" applyFill="1" applyBorder="1" applyAlignment="1">
      <alignment horizontal="right"/>
    </xf>
    <xf numFmtId="0" fontId="1" fillId="15" borderId="16" xfId="0" applyFont="1" applyFill="1" applyBorder="1" applyAlignment="1">
      <alignment horizontal="right"/>
    </xf>
    <xf numFmtId="0" fontId="1" fillId="2" borderId="11" xfId="0" applyFont="1" applyFill="1" applyBorder="1" applyAlignment="1">
      <alignment horizontal="left"/>
    </xf>
    <xf numFmtId="0" fontId="1" fillId="0" borderId="16" xfId="0" applyFont="1" applyBorder="1" applyAlignment="1">
      <alignment horizontal="left"/>
    </xf>
    <xf numFmtId="49" fontId="0" fillId="0" borderId="6" xfId="0" applyNumberFormat="1" applyBorder="1" applyAlignment="1">
      <alignment horizontal="right"/>
    </xf>
    <xf numFmtId="0" fontId="1" fillId="16" borderId="6" xfId="0" applyFont="1" applyFill="1" applyBorder="1" applyAlignment="1">
      <alignment horizontal="left"/>
    </xf>
    <xf numFmtId="0" fontId="1" fillId="16" borderId="7" xfId="0" applyFont="1" applyFill="1" applyBorder="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2" fillId="7" borderId="4" xfId="0" applyFont="1" applyFill="1" applyBorder="1" applyAlignment="1">
      <alignment horizontal="center" vertical="center"/>
    </xf>
    <xf numFmtId="0" fontId="1" fillId="0" borderId="84" xfId="0" applyFont="1" applyBorder="1" applyAlignment="1">
      <alignment horizontal="right"/>
    </xf>
    <xf numFmtId="41" fontId="0" fillId="0" borderId="8" xfId="0" applyNumberFormat="1" applyBorder="1" applyAlignment="1">
      <alignment horizontal="center" vertical="center"/>
    </xf>
    <xf numFmtId="41" fontId="0" fillId="0" borderId="4" xfId="0" applyNumberFormat="1" applyBorder="1" applyAlignment="1">
      <alignment horizontal="center" vertical="center"/>
    </xf>
    <xf numFmtId="41" fontId="0" fillId="0" borderId="12" xfId="0" applyNumberFormat="1" applyBorder="1" applyAlignment="1">
      <alignment horizontal="center" vertical="center"/>
    </xf>
    <xf numFmtId="41" fontId="0" fillId="0" borderId="6" xfId="0" applyNumberFormat="1" applyBorder="1" applyAlignment="1">
      <alignment horizontal="center" vertical="center"/>
    </xf>
    <xf numFmtId="41" fontId="0" fillId="0" borderId="7" xfId="0" applyNumberFormat="1" applyBorder="1" applyAlignment="1">
      <alignment horizontal="center" vertical="center"/>
    </xf>
    <xf numFmtId="0" fontId="2" fillId="0" borderId="77" xfId="0" applyFont="1" applyBorder="1" applyAlignment="1">
      <alignment horizontal="right"/>
    </xf>
    <xf numFmtId="0" fontId="1" fillId="0" borderId="9" xfId="0" applyFont="1" applyBorder="1" applyAlignment="1">
      <alignment horizontal="center" vertical="center"/>
    </xf>
    <xf numFmtId="0" fontId="2" fillId="0" borderId="5" xfId="0" applyFont="1" applyBorder="1" applyAlignment="1">
      <alignment horizontal="center" vertical="center"/>
    </xf>
    <xf numFmtId="0" fontId="0" fillId="4" borderId="5" xfId="0" applyFill="1" applyBorder="1" applyAlignment="1">
      <alignment horizontal="center" vertical="center" wrapText="1"/>
    </xf>
    <xf numFmtId="0" fontId="0" fillId="0" borderId="8" xfId="0" applyBorder="1" applyAlignment="1">
      <alignment vertical="center" wrapText="1"/>
    </xf>
    <xf numFmtId="0" fontId="0" fillId="0" borderId="4" xfId="0" applyBorder="1" applyAlignment="1">
      <alignment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wrapText="1"/>
    </xf>
    <xf numFmtId="0" fontId="0" fillId="0" borderId="12" xfId="0" applyBorder="1" applyAlignment="1">
      <alignment vertical="center" wrapText="1"/>
    </xf>
    <xf numFmtId="0" fontId="0" fillId="0" borderId="6" xfId="0" applyBorder="1" applyAlignment="1">
      <alignment vertical="center" wrapText="1"/>
    </xf>
    <xf numFmtId="0" fontId="0" fillId="0" borderId="7" xfId="0" applyBorder="1" applyAlignment="1">
      <alignment wrapText="1"/>
    </xf>
    <xf numFmtId="0" fontId="0" fillId="8" borderId="10" xfId="0" applyFill="1" applyBorder="1" applyAlignment="1">
      <alignment horizontal="center" vertical="center"/>
    </xf>
    <xf numFmtId="0" fontId="0" fillId="0" borderId="9" xfId="0" applyBorder="1" applyAlignment="1">
      <alignment horizontal="center" vertical="center" wrapText="1"/>
    </xf>
    <xf numFmtId="0" fontId="2" fillId="0" borderId="10" xfId="0" applyFont="1" applyBorder="1" applyAlignment="1">
      <alignment horizontal="center" vertical="center"/>
    </xf>
    <xf numFmtId="0" fontId="0" fillId="0" borderId="58" xfId="0" applyBorder="1" applyAlignment="1">
      <alignment horizontal="right"/>
    </xf>
    <xf numFmtId="0" fontId="1" fillId="16" borderId="53" xfId="0" applyFont="1" applyFill="1" applyBorder="1" applyAlignment="1">
      <alignment horizontal="left"/>
    </xf>
    <xf numFmtId="0" fontId="1" fillId="16" borderId="54" xfId="0" applyFont="1" applyFill="1" applyBorder="1" applyAlignment="1">
      <alignment horizontal="left"/>
    </xf>
    <xf numFmtId="0" fontId="1" fillId="0" borderId="95" xfId="0" applyFont="1" applyBorder="1" applyAlignment="1">
      <alignment horizontal="center"/>
    </xf>
    <xf numFmtId="0" fontId="1" fillId="0" borderId="0" xfId="0" applyFont="1" applyAlignment="1">
      <alignment horizontal="center" wrapText="1"/>
    </xf>
    <xf numFmtId="0" fontId="1" fillId="0" borderId="3" xfId="0" applyFont="1" applyBorder="1" applyAlignment="1">
      <alignment wrapText="1"/>
    </xf>
    <xf numFmtId="0" fontId="1" fillId="7" borderId="16" xfId="0" applyFont="1" applyFill="1" applyBorder="1" applyAlignment="1">
      <alignment horizontal="center"/>
    </xf>
    <xf numFmtId="0" fontId="1" fillId="2" borderId="31" xfId="0" applyFont="1" applyFill="1" applyBorder="1" applyAlignment="1">
      <alignment horizontal="left"/>
    </xf>
    <xf numFmtId="0" fontId="1" fillId="0" borderId="28" xfId="0" applyFont="1" applyBorder="1" applyAlignment="1">
      <alignment horizontal="left"/>
    </xf>
    <xf numFmtId="0" fontId="1" fillId="0" borderId="83" xfId="0" applyFont="1" applyBorder="1" applyAlignment="1">
      <alignment horizontal="center"/>
    </xf>
    <xf numFmtId="0" fontId="1" fillId="0" borderId="66" xfId="0" applyFont="1" applyBorder="1" applyAlignment="1">
      <alignment horizontal="right"/>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0" borderId="83" xfId="0" applyBorder="1" applyAlignment="1">
      <alignment horizontal="right"/>
    </xf>
    <xf numFmtId="0" fontId="1" fillId="0" borderId="32" xfId="0" applyFont="1" applyBorder="1" applyAlignment="1">
      <alignment horizontal="right"/>
    </xf>
    <xf numFmtId="0" fontId="2" fillId="0" borderId="58" xfId="0" applyFont="1" applyBorder="1" applyAlignment="1">
      <alignment horizontal="right"/>
    </xf>
    <xf numFmtId="0" fontId="0" fillId="7" borderId="3" xfId="0" applyFill="1" applyBorder="1" applyAlignment="1">
      <alignment horizontal="center" vertical="center"/>
    </xf>
    <xf numFmtId="41" fontId="0" fillId="8" borderId="4" xfId="0" applyNumberFormat="1" applyFill="1" applyBorder="1" applyAlignment="1">
      <alignment horizontal="center" vertical="center"/>
    </xf>
    <xf numFmtId="41" fontId="0" fillId="8" borderId="12" xfId="0" applyNumberFormat="1" applyFill="1" applyBorder="1" applyAlignment="1">
      <alignment horizontal="center" vertical="center"/>
    </xf>
    <xf numFmtId="41" fontId="0" fillId="8" borderId="7" xfId="0" applyNumberFormat="1" applyFill="1" applyBorder="1" applyAlignment="1">
      <alignment horizontal="center" vertical="center"/>
    </xf>
    <xf numFmtId="41" fontId="0" fillId="8" borderId="2" xfId="0" applyNumberFormat="1" applyFill="1" applyBorder="1" applyAlignment="1">
      <alignment horizontal="center" vertical="center"/>
    </xf>
    <xf numFmtId="41" fontId="0" fillId="8" borderId="3" xfId="0" applyNumberFormat="1" applyFill="1" applyBorder="1" applyAlignment="1">
      <alignment horizontal="center" vertical="center"/>
    </xf>
    <xf numFmtId="0" fontId="1" fillId="0" borderId="82" xfId="0" applyFont="1" applyBorder="1" applyAlignment="1">
      <alignment horizontal="right"/>
    </xf>
    <xf numFmtId="41" fontId="0" fillId="0" borderId="2" xfId="0" applyNumberFormat="1" applyBorder="1" applyAlignment="1">
      <alignment horizontal="center" vertical="center"/>
    </xf>
    <xf numFmtId="41" fontId="0" fillId="0" borderId="0" xfId="0" applyNumberFormat="1" applyAlignment="1">
      <alignment horizontal="center" vertical="center"/>
    </xf>
    <xf numFmtId="41" fontId="0" fillId="0" borderId="3" xfId="0" applyNumberFormat="1" applyBorder="1" applyAlignment="1">
      <alignment horizontal="center" vertical="center"/>
    </xf>
    <xf numFmtId="0" fontId="2" fillId="0" borderId="10" xfId="0" applyFont="1" applyBorder="1" applyAlignment="1">
      <alignment horizontal="center" vertical="center" wrapText="1"/>
    </xf>
    <xf numFmtId="0" fontId="0" fillId="0" borderId="3" xfId="0" applyBorder="1" applyAlignment="1">
      <alignment horizontal="left"/>
    </xf>
    <xf numFmtId="0" fontId="1" fillId="16" borderId="12" xfId="0" applyFont="1" applyFill="1" applyBorder="1" applyAlignment="1">
      <alignment horizontal="left"/>
    </xf>
    <xf numFmtId="0" fontId="0" fillId="0" borderId="8" xfId="0" applyBorder="1" applyAlignment="1">
      <alignment wrapText="1"/>
    </xf>
    <xf numFmtId="0" fontId="0" fillId="0" borderId="2" xfId="0" applyBorder="1" applyAlignment="1">
      <alignment wrapText="1"/>
    </xf>
    <xf numFmtId="0" fontId="0" fillId="0" borderId="0" xfId="0" applyAlignment="1">
      <alignment wrapText="1"/>
    </xf>
    <xf numFmtId="0" fontId="0" fillId="0" borderId="12" xfId="0" applyBorder="1" applyAlignment="1">
      <alignment wrapText="1"/>
    </xf>
    <xf numFmtId="0" fontId="0" fillId="0" borderId="6" xfId="0" applyBorder="1" applyAlignment="1">
      <alignment wrapText="1"/>
    </xf>
    <xf numFmtId="0" fontId="1" fillId="0" borderId="11" xfId="0" applyFont="1" applyBorder="1" applyAlignment="1">
      <alignment wrapText="1"/>
    </xf>
    <xf numFmtId="0" fontId="0" fillId="0" borderId="16" xfId="0" applyBorder="1" applyAlignment="1">
      <alignment wrapText="1"/>
    </xf>
    <xf numFmtId="0" fontId="0" fillId="0" borderId="20" xfId="0" applyBorder="1" applyAlignment="1">
      <alignment wrapText="1"/>
    </xf>
    <xf numFmtId="0" fontId="2" fillId="7" borderId="9" xfId="0" applyFont="1" applyFill="1" applyBorder="1" applyAlignment="1">
      <alignment horizontal="center" vertical="center"/>
    </xf>
    <xf numFmtId="0" fontId="1" fillId="0" borderId="32" xfId="0" applyFont="1" applyBorder="1" applyAlignment="1">
      <alignment horizontal="center"/>
    </xf>
    <xf numFmtId="0" fontId="1" fillId="0" borderId="55" xfId="0" applyFont="1" applyBorder="1" applyAlignment="1">
      <alignment horizontal="center"/>
    </xf>
    <xf numFmtId="0" fontId="1" fillId="2" borderId="24" xfId="0" applyFont="1" applyFill="1" applyBorder="1" applyAlignment="1">
      <alignment horizontal="left"/>
    </xf>
    <xf numFmtId="0" fontId="1" fillId="0" borderId="65" xfId="0" applyFont="1" applyBorder="1" applyAlignment="1">
      <alignment horizontal="center"/>
    </xf>
    <xf numFmtId="0" fontId="1" fillId="0" borderId="85" xfId="0" applyFont="1" applyBorder="1" applyAlignment="1">
      <alignment horizontal="right"/>
    </xf>
    <xf numFmtId="0" fontId="2" fillId="0" borderId="4" xfId="0" applyFont="1" applyBorder="1" applyAlignment="1">
      <alignment horizontal="center" vertical="center" wrapText="1"/>
    </xf>
    <xf numFmtId="0" fontId="0" fillId="8" borderId="5" xfId="0" applyFill="1" applyBorder="1" applyAlignment="1">
      <alignment horizontal="center" vertical="center"/>
    </xf>
    <xf numFmtId="0" fontId="1" fillId="16" borderId="52" xfId="0" applyFont="1" applyFill="1" applyBorder="1" applyAlignment="1">
      <alignment horizontal="left"/>
    </xf>
    <xf numFmtId="0" fontId="0" fillId="7" borderId="10" xfId="0" applyFill="1" applyBorder="1" applyAlignment="1">
      <alignment horizontal="center" vertical="center"/>
    </xf>
    <xf numFmtId="0" fontId="0" fillId="7" borderId="5" xfId="0" applyFill="1" applyBorder="1" applyAlignment="1">
      <alignment horizontal="center" vertical="center"/>
    </xf>
    <xf numFmtId="0" fontId="1" fillId="4" borderId="8"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7" xfId="0" applyBorder="1" applyAlignment="1">
      <alignment horizontal="center" vertical="center" wrapText="1"/>
    </xf>
    <xf numFmtId="0" fontId="2" fillId="0" borderId="6" xfId="0" applyFont="1" applyBorder="1" applyAlignment="1">
      <alignment horizontal="right"/>
    </xf>
    <xf numFmtId="0" fontId="0" fillId="0" borderId="0" xfId="0" quotePrefix="1" applyAlignment="1">
      <alignment horizontal="right"/>
    </xf>
    <xf numFmtId="41" fontId="2" fillId="8" borderId="10" xfId="0" applyNumberFormat="1" applyFont="1" applyFill="1" applyBorder="1" applyAlignment="1">
      <alignment horizontal="center" vertical="center"/>
    </xf>
    <xf numFmtId="0" fontId="1" fillId="0" borderId="85" xfId="0" applyFont="1" applyBorder="1" applyAlignment="1">
      <alignment horizontal="center"/>
    </xf>
    <xf numFmtId="0" fontId="1" fillId="0" borderId="95" xfId="0" applyFont="1" applyBorder="1" applyAlignment="1">
      <alignment horizontal="center" wrapText="1"/>
    </xf>
    <xf numFmtId="0" fontId="1" fillId="0" borderId="94" xfId="0" applyFont="1" applyBorder="1" applyAlignment="1">
      <alignment wrapText="1"/>
    </xf>
    <xf numFmtId="41" fontId="2" fillId="4" borderId="10" xfId="0" applyNumberFormat="1" applyFont="1" applyFill="1" applyBorder="1" applyAlignment="1">
      <alignment horizontal="center" vertical="center"/>
    </xf>
    <xf numFmtId="41" fontId="2" fillId="8" borderId="11" xfId="0" applyNumberFormat="1" applyFont="1" applyFill="1" applyBorder="1" applyAlignment="1">
      <alignment horizontal="center"/>
    </xf>
    <xf numFmtId="0" fontId="0" fillId="8" borderId="20" xfId="0" applyFill="1" applyBorder="1" applyAlignment="1">
      <alignment horizontal="center"/>
    </xf>
    <xf numFmtId="0" fontId="2" fillId="0" borderId="12" xfId="0" applyFont="1" applyBorder="1" applyAlignment="1">
      <alignment horizontal="right"/>
    </xf>
    <xf numFmtId="0" fontId="1" fillId="0" borderId="12" xfId="0" applyFont="1" applyBorder="1" applyAlignment="1">
      <alignment horizontal="right"/>
    </xf>
    <xf numFmtId="41" fontId="2" fillId="7" borderId="1" xfId="0" applyNumberFormat="1" applyFont="1" applyFill="1" applyBorder="1" applyAlignment="1">
      <alignment horizontal="center" vertical="center"/>
    </xf>
    <xf numFmtId="0" fontId="0" fillId="7" borderId="8" xfId="0" applyFill="1" applyBorder="1" applyAlignment="1">
      <alignment horizontal="center" vertical="center"/>
    </xf>
    <xf numFmtId="0" fontId="0" fillId="7" borderId="4" xfId="0" applyFill="1" applyBorder="1" applyAlignment="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12"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5" fillId="0" borderId="65" xfId="0" applyFont="1" applyBorder="1" applyAlignment="1">
      <alignment horizontal="center" vertical="center"/>
    </xf>
    <xf numFmtId="0" fontId="0" fillId="0" borderId="48" xfId="0" applyBorder="1" applyAlignment="1">
      <alignment horizontal="left" indent="1"/>
    </xf>
    <xf numFmtId="0" fontId="0" fillId="0" borderId="33" xfId="0" applyBorder="1" applyAlignment="1">
      <alignment horizontal="left" indent="1"/>
    </xf>
    <xf numFmtId="0" fontId="0" fillId="0" borderId="41" xfId="0" applyBorder="1" applyAlignment="1">
      <alignment horizontal="center" vertical="center" wrapText="1"/>
    </xf>
    <xf numFmtId="0" fontId="0" fillId="0" borderId="63" xfId="0" applyBorder="1" applyAlignment="1">
      <alignment horizontal="center" vertical="center" wrapText="1"/>
    </xf>
    <xf numFmtId="0" fontId="6" fillId="0" borderId="46" xfId="0" applyFont="1" applyBorder="1" applyAlignment="1">
      <alignment vertical="center"/>
    </xf>
    <xf numFmtId="0" fontId="1" fillId="7" borderId="16" xfId="0" applyFont="1" applyFill="1" applyBorder="1" applyAlignment="1">
      <alignment horizontal="left"/>
    </xf>
    <xf numFmtId="0" fontId="1" fillId="7" borderId="20" xfId="0" applyFont="1" applyFill="1" applyBorder="1" applyAlignment="1">
      <alignment horizontal="left"/>
    </xf>
    <xf numFmtId="165" fontId="1" fillId="7" borderId="11" xfId="0" applyNumberFormat="1" applyFont="1" applyFill="1" applyBorder="1" applyAlignment="1">
      <alignment horizontal="center"/>
    </xf>
    <xf numFmtId="165" fontId="1" fillId="7" borderId="16" xfId="0" applyNumberFormat="1" applyFont="1" applyFill="1" applyBorder="1" applyAlignment="1">
      <alignment horizontal="center"/>
    </xf>
    <xf numFmtId="14" fontId="1" fillId="7" borderId="12" xfId="0" applyNumberFormat="1" applyFont="1" applyFill="1" applyBorder="1" applyAlignment="1">
      <alignment horizontal="center"/>
    </xf>
    <xf numFmtId="14" fontId="1" fillId="7" borderId="6" xfId="0" applyNumberFormat="1" applyFont="1" applyFill="1" applyBorder="1" applyAlignment="1">
      <alignment horizontal="center"/>
    </xf>
    <xf numFmtId="0" fontId="1" fillId="0" borderId="7" xfId="0" applyFont="1" applyBorder="1" applyAlignment="1">
      <alignment horizontal="center"/>
    </xf>
    <xf numFmtId="0" fontId="0" fillId="2" borderId="27" xfId="0" applyFill="1" applyBorder="1" applyAlignment="1">
      <alignment horizontal="center" vertical="center" wrapText="1"/>
    </xf>
    <xf numFmtId="0" fontId="0" fillId="0" borderId="27" xfId="0" applyBorder="1" applyAlignment="1">
      <alignment horizontal="center" vertical="center" wrapText="1"/>
    </xf>
    <xf numFmtId="49" fontId="2" fillId="0" borderId="2" xfId="0" applyNumberFormat="1" applyFont="1" applyBorder="1" applyAlignment="1">
      <alignment horizontal="right"/>
    </xf>
    <xf numFmtId="49" fontId="0" fillId="10" borderId="20" xfId="0" applyNumberFormat="1" applyFill="1" applyBorder="1" applyAlignment="1" applyProtection="1">
      <protection locked="0"/>
    </xf>
    <xf numFmtId="14" fontId="1" fillId="10" borderId="20" xfId="0" applyNumberFormat="1" applyFont="1" applyFill="1" applyBorder="1" applyAlignment="1" applyProtection="1">
      <protection locked="0"/>
    </xf>
    <xf numFmtId="0" fontId="0" fillId="0" borderId="20" xfId="0" applyBorder="1" applyAlignment="1"/>
    <xf numFmtId="0" fontId="0" fillId="5" borderId="0" xfId="0" applyFill="1" applyAlignment="1"/>
    <xf numFmtId="0" fontId="0" fillId="0" borderId="0" xfId="0" applyAlignment="1"/>
    <xf numFmtId="49" fontId="2" fillId="5" borderId="0" xfId="0" applyNumberFormat="1" applyFont="1" applyFill="1" applyAlignment="1"/>
    <xf numFmtId="41" fontId="2" fillId="13" borderId="0" xfId="0" applyNumberFormat="1" applyFont="1" applyFill="1" applyAlignment="1"/>
    <xf numFmtId="0" fontId="0" fillId="0" borderId="2" xfId="0" applyBorder="1" applyAlignment="1"/>
    <xf numFmtId="41" fontId="21" fillId="12" borderId="58" xfId="0" applyNumberFormat="1" applyFont="1" applyFill="1" applyBorder="1" applyAlignment="1"/>
    <xf numFmtId="0" fontId="0" fillId="12" borderId="0" xfId="0" applyFill="1" applyAlignment="1"/>
    <xf numFmtId="0" fontId="0" fillId="0" borderId="12" xfId="0" applyBorder="1" applyAlignment="1"/>
    <xf numFmtId="0" fontId="0" fillId="0" borderId="4" xfId="0" applyBorder="1" applyAlignment="1"/>
    <xf numFmtId="0" fontId="0" fillId="0" borderId="3" xfId="0" applyBorder="1" applyAlignment="1"/>
    <xf numFmtId="0" fontId="0" fillId="0" borderId="55" xfId="0" applyBorder="1" applyAlignment="1"/>
    <xf numFmtId="0" fontId="0" fillId="0" borderId="33" xfId="0" applyBorder="1" applyAlignment="1"/>
    <xf numFmtId="0" fontId="1" fillId="17" borderId="0" xfId="0" applyFont="1" applyFill="1" applyAlignment="1"/>
    <xf numFmtId="0" fontId="0" fillId="17" borderId="0" xfId="0" applyFill="1" applyAlignment="1"/>
    <xf numFmtId="49" fontId="2" fillId="17" borderId="0" xfId="0" applyNumberFormat="1" applyFont="1" applyFill="1" applyAlignment="1"/>
    <xf numFmtId="0" fontId="1" fillId="2" borderId="6" xfId="0" applyFont="1" applyFill="1" applyBorder="1" applyAlignment="1"/>
    <xf numFmtId="0" fontId="1" fillId="2" borderId="70" xfId="0" applyFont="1" applyFill="1" applyBorder="1" applyAlignment="1"/>
    <xf numFmtId="0" fontId="1" fillId="0" borderId="34" xfId="0" applyFont="1" applyBorder="1" applyAlignment="1"/>
    <xf numFmtId="0" fontId="0" fillId="0" borderId="16" xfId="0" applyBorder="1" applyAlignment="1"/>
    <xf numFmtId="0" fontId="0" fillId="7" borderId="16" xfId="0" applyFill="1" applyBorder="1" applyAlignment="1"/>
    <xf numFmtId="0" fontId="0" fillId="7" borderId="20" xfId="0" applyFill="1" applyBorder="1" applyAlignment="1"/>
    <xf numFmtId="0" fontId="0" fillId="0" borderId="8" xfId="0" applyBorder="1" applyAlignment="1"/>
    <xf numFmtId="0" fontId="1" fillId="0" borderId="11" xfId="0" applyFont="1" applyBorder="1" applyAlignment="1"/>
    <xf numFmtId="0" fontId="1" fillId="0" borderId="51" xfId="0" applyFont="1" applyBorder="1" applyAlignment="1"/>
    <xf numFmtId="0" fontId="1" fillId="0" borderId="57" xfId="0" applyFont="1" applyBorder="1" applyAlignment="1"/>
    <xf numFmtId="0" fontId="0" fillId="0" borderId="39" xfId="0" applyBorder="1" applyAlignment="1"/>
    <xf numFmtId="0" fontId="0" fillId="0" borderId="82" xfId="0" applyBorder="1" applyAlignment="1"/>
    <xf numFmtId="0" fontId="1" fillId="0" borderId="94" xfId="0" applyFont="1" applyBorder="1" applyAlignment="1"/>
    <xf numFmtId="0" fontId="1" fillId="0" borderId="81" xfId="0" applyFont="1" applyBorder="1" applyAlignment="1"/>
    <xf numFmtId="0" fontId="0" fillId="0" borderId="10" xfId="0" applyBorder="1" applyAlignment="1"/>
    <xf numFmtId="0" fontId="0" fillId="0" borderId="5" xfId="0" applyBorder="1" applyAlignment="1"/>
    <xf numFmtId="0" fontId="4" fillId="2" borderId="12" xfId="0" applyFont="1" applyFill="1" applyBorder="1" applyAlignment="1"/>
    <xf numFmtId="0" fontId="0" fillId="0" borderId="6" xfId="0" applyBorder="1" applyAlignment="1"/>
    <xf numFmtId="0" fontId="0" fillId="0" borderId="7" xfId="0" applyBorder="1" applyAlignment="1"/>
    <xf numFmtId="0" fontId="2" fillId="0" borderId="7" xfId="0" applyFont="1" applyBorder="1" applyAlignment="1"/>
    <xf numFmtId="0" fontId="0" fillId="0" borderId="28" xfId="0" applyBorder="1" applyAlignment="1"/>
    <xf numFmtId="0" fontId="0" fillId="0" borderId="45" xfId="0" applyBorder="1" applyAlignment="1"/>
    <xf numFmtId="0" fontId="1" fillId="0" borderId="8" xfId="0" applyFont="1" applyBorder="1" applyAlignment="1"/>
    <xf numFmtId="0" fontId="1" fillId="0" borderId="16" xfId="0" applyFont="1" applyBorder="1" applyAlignment="1"/>
    <xf numFmtId="0" fontId="4" fillId="2" borderId="6" xfId="0" applyFont="1" applyFill="1" applyBorder="1" applyAlignment="1"/>
    <xf numFmtId="0" fontId="1" fillId="7" borderId="11" xfId="0" applyFont="1" applyFill="1" applyBorder="1" applyAlignment="1"/>
    <xf numFmtId="0" fontId="1" fillId="0" borderId="3" xfId="0" applyFont="1" applyBorder="1" applyAlignment="1"/>
    <xf numFmtId="0" fontId="1" fillId="0" borderId="2" xfId="0" applyFont="1" applyBorder="1" applyAlignment="1"/>
    <xf numFmtId="0" fontId="4" fillId="2" borderId="11" xfId="0" applyFont="1" applyFill="1" applyBorder="1" applyAlignment="1"/>
  </cellXfs>
  <cellStyles count="6">
    <cellStyle name="Comma 2" xfId="3" xr:uid="{00000000-0005-0000-0000-000000000000}"/>
    <cellStyle name="Currency 2" xfId="5" xr:uid="{00000000-0005-0000-0000-000001000000}"/>
    <cellStyle name="Hyperlink" xfId="1" builtinId="8"/>
    <cellStyle name="Normal" xfId="0" builtinId="0"/>
    <cellStyle name="Normal 2" xfId="2" xr:uid="{00000000-0005-0000-0000-000004000000}"/>
    <cellStyle name="Normal 3" xfId="4" xr:uid="{00000000-0005-0000-0000-000005000000}"/>
  </cellStyles>
  <dxfs count="58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CFFCC"/>
      <color rgb="FFCCFFFF"/>
      <color rgb="FF28D5F8"/>
      <color rgb="FFCACD53"/>
      <color rgb="FF0000FF"/>
      <color rgb="FF0066FF"/>
      <color rgb="FFB2C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342900</xdr:colOff>
      <xdr:row>0</xdr:row>
      <xdr:rowOff>28575</xdr:rowOff>
    </xdr:from>
    <xdr:to>
      <xdr:col>11</xdr:col>
      <xdr:colOff>19050</xdr:colOff>
      <xdr:row>3</xdr:row>
      <xdr:rowOff>95250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324600" y="28575"/>
          <a:ext cx="57721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a:t>
          </a:r>
          <a:r>
            <a:rPr lang="en-US" sz="1100" baseline="0"/>
            <a:t> ORA Use Only:</a:t>
          </a: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ars.umesp.maine.edu/ORAWeb/GuideToBudgetPreparation.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42"/>
  <sheetViews>
    <sheetView zoomScaleNormal="100" workbookViewId="0">
      <selection activeCell="F18" sqref="F18"/>
    </sheetView>
  </sheetViews>
  <sheetFormatPr defaultColWidth="9.140625" defaultRowHeight="20.100000000000001" customHeight="1"/>
  <cols>
    <col min="1" max="1" width="105.28515625" style="479" customWidth="1"/>
    <col min="2" max="2" width="9.140625" style="479"/>
    <col min="3" max="3" width="13.7109375" style="479" customWidth="1"/>
    <col min="4" max="4" width="15.7109375" style="479" customWidth="1"/>
    <col min="5" max="5" width="12.140625" style="479" customWidth="1"/>
    <col min="6" max="6" width="12.85546875" style="479" bestFit="1" customWidth="1"/>
    <col min="7" max="8" width="12.140625" style="479" customWidth="1"/>
    <col min="9" max="16384" width="9.140625" style="479"/>
  </cols>
  <sheetData>
    <row r="1" spans="1:12" ht="18" customHeight="1" thickBot="1">
      <c r="A1" s="492" t="s">
        <v>0</v>
      </c>
    </row>
    <row r="2" spans="1:12" ht="18" customHeight="1" thickBot="1">
      <c r="A2" s="493" t="s">
        <v>1</v>
      </c>
    </row>
    <row r="3" spans="1:12" ht="18" customHeight="1">
      <c r="A3" s="575" t="s">
        <v>2</v>
      </c>
    </row>
    <row r="4" spans="1:12" ht="18" customHeight="1" thickBot="1">
      <c r="A4" s="576" t="s">
        <v>3</v>
      </c>
    </row>
    <row r="5" spans="1:12" ht="18" customHeight="1" thickBot="1">
      <c r="A5" s="576" t="s">
        <v>4</v>
      </c>
      <c r="C5" s="695" t="s">
        <v>5</v>
      </c>
      <c r="D5" s="696"/>
      <c r="E5" s="696"/>
      <c r="F5" s="697"/>
      <c r="G5" s="485"/>
      <c r="H5" s="485"/>
      <c r="I5" s="485"/>
      <c r="J5" s="485"/>
      <c r="K5" s="485"/>
    </row>
    <row r="6" spans="1:12" ht="18" customHeight="1" thickBot="1">
      <c r="A6" s="530" t="s">
        <v>6</v>
      </c>
      <c r="C6" s="487" t="s">
        <v>7</v>
      </c>
      <c r="D6" s="487" t="s">
        <v>8</v>
      </c>
      <c r="E6" s="487" t="s">
        <v>9</v>
      </c>
      <c r="F6" s="487" t="s">
        <v>10</v>
      </c>
      <c r="H6" s="483"/>
      <c r="I6" s="483"/>
      <c r="J6" s="483"/>
      <c r="K6" s="483"/>
    </row>
    <row r="7" spans="1:12" ht="18" customHeight="1">
      <c r="A7" s="655"/>
      <c r="C7" s="706">
        <v>23</v>
      </c>
      <c r="D7" s="488" t="s">
        <v>11</v>
      </c>
      <c r="E7" s="489">
        <v>0.47499999999999998</v>
      </c>
      <c r="F7" s="708">
        <v>0.26</v>
      </c>
      <c r="H7" s="483"/>
      <c r="I7" s="483"/>
      <c r="J7" s="483"/>
      <c r="K7" s="483"/>
    </row>
    <row r="8" spans="1:12" ht="18" customHeight="1">
      <c r="A8" s="655"/>
      <c r="C8" s="702"/>
      <c r="D8" s="488" t="s">
        <v>12</v>
      </c>
      <c r="E8" s="489">
        <v>0.53</v>
      </c>
      <c r="F8" s="709"/>
      <c r="H8" s="483"/>
      <c r="I8" s="483"/>
      <c r="J8" s="483"/>
      <c r="K8" s="483"/>
    </row>
    <row r="9" spans="1:12" ht="18" customHeight="1" thickBot="1">
      <c r="A9" s="655"/>
      <c r="C9" s="707"/>
      <c r="D9" s="656" t="s">
        <v>13</v>
      </c>
      <c r="E9" s="657">
        <v>0.32</v>
      </c>
      <c r="F9" s="710"/>
      <c r="H9" s="483"/>
      <c r="I9" s="483"/>
      <c r="J9" s="483"/>
      <c r="K9" s="483"/>
    </row>
    <row r="10" spans="1:12" ht="18" customHeight="1" thickBot="1">
      <c r="A10" s="545"/>
      <c r="C10" s="700" t="s">
        <v>14</v>
      </c>
      <c r="D10" s="488" t="s">
        <v>11</v>
      </c>
      <c r="E10" s="489">
        <v>0.47699999999999998</v>
      </c>
      <c r="F10" s="711">
        <v>0.26</v>
      </c>
      <c r="H10" s="483"/>
      <c r="I10" s="483"/>
      <c r="J10" s="483"/>
      <c r="K10" s="483"/>
    </row>
    <row r="11" spans="1:12" ht="18" customHeight="1" thickBot="1">
      <c r="A11" s="544" t="s">
        <v>15</v>
      </c>
      <c r="C11" s="701"/>
      <c r="D11" s="488" t="s">
        <v>12</v>
      </c>
      <c r="E11" s="489">
        <v>0.53</v>
      </c>
      <c r="F11" s="709"/>
      <c r="H11" s="483"/>
      <c r="I11" s="483"/>
      <c r="J11" s="483"/>
      <c r="K11" s="483"/>
    </row>
    <row r="12" spans="1:12" ht="14.25" customHeight="1" thickBot="1">
      <c r="A12" s="500" t="s">
        <v>16</v>
      </c>
      <c r="C12" s="701"/>
      <c r="D12" s="491" t="s">
        <v>13</v>
      </c>
      <c r="E12" s="490">
        <v>0.32</v>
      </c>
      <c r="F12" s="712"/>
      <c r="H12" s="483"/>
      <c r="I12" s="483"/>
      <c r="J12" s="483"/>
      <c r="K12" s="483"/>
    </row>
    <row r="13" spans="1:12" ht="12.75">
      <c r="A13" s="500" t="s">
        <v>17</v>
      </c>
      <c r="C13" s="485"/>
      <c r="D13" s="484"/>
      <c r="E13" s="504"/>
      <c r="F13" s="504"/>
      <c r="G13" s="483"/>
      <c r="H13" s="483"/>
      <c r="I13" s="483"/>
      <c r="J13" s="483"/>
      <c r="K13" s="483"/>
    </row>
    <row r="14" spans="1:12" ht="18" customHeight="1" thickBot="1">
      <c r="A14" s="500" t="s">
        <v>18</v>
      </c>
      <c r="C14" s="485"/>
      <c r="D14" s="484"/>
      <c r="E14" s="486"/>
      <c r="F14" s="486"/>
      <c r="G14" s="483"/>
      <c r="H14" s="483"/>
      <c r="I14" s="483"/>
      <c r="J14" s="483"/>
      <c r="K14" s="483"/>
    </row>
    <row r="15" spans="1:12" ht="18" customHeight="1" thickBot="1">
      <c r="A15" s="500" t="s">
        <v>19</v>
      </c>
      <c r="C15" s="695" t="s">
        <v>20</v>
      </c>
      <c r="D15" s="698"/>
      <c r="E15" s="698"/>
      <c r="F15" s="699"/>
      <c r="G15" s="483"/>
      <c r="H15" s="483"/>
      <c r="I15" s="483"/>
      <c r="J15" s="483"/>
      <c r="K15" s="483"/>
    </row>
    <row r="16" spans="1:12" ht="18" customHeight="1">
      <c r="A16" s="500" t="s">
        <v>21</v>
      </c>
      <c r="C16" s="702" t="s">
        <v>22</v>
      </c>
      <c r="D16" s="704" t="s">
        <v>23</v>
      </c>
      <c r="E16" s="704"/>
      <c r="F16" s="497">
        <v>0.437</v>
      </c>
      <c r="G16" s="483"/>
      <c r="H16" s="483"/>
      <c r="I16" s="483"/>
      <c r="J16" s="483"/>
      <c r="K16" s="483"/>
    </row>
    <row r="17" spans="1:11" ht="18" customHeight="1" thickBot="1">
      <c r="A17" s="499" t="s">
        <v>24</v>
      </c>
      <c r="C17" s="703"/>
      <c r="D17" s="705" t="s">
        <v>25</v>
      </c>
      <c r="E17" s="705"/>
      <c r="F17" s="496">
        <v>7.6999999999999999E-2</v>
      </c>
      <c r="G17" s="483"/>
      <c r="H17" s="483"/>
      <c r="I17" s="483"/>
      <c r="J17" s="483"/>
      <c r="K17" s="483"/>
    </row>
    <row r="18" spans="1:11" ht="21" customHeight="1">
      <c r="A18" s="577" t="s">
        <v>26</v>
      </c>
      <c r="C18" s="481"/>
      <c r="G18" s="483"/>
      <c r="H18" s="483"/>
      <c r="I18" s="483"/>
      <c r="J18" s="483"/>
      <c r="K18" s="483"/>
    </row>
    <row r="19" spans="1:11" ht="18" customHeight="1">
      <c r="A19" s="500" t="s">
        <v>27</v>
      </c>
      <c r="C19" s="480"/>
      <c r="G19" s="483"/>
      <c r="H19" s="483"/>
      <c r="I19" s="483"/>
      <c r="J19" s="483"/>
      <c r="K19" s="483"/>
    </row>
    <row r="20" spans="1:11" ht="18" customHeight="1">
      <c r="A20" s="499" t="s">
        <v>28</v>
      </c>
    </row>
    <row r="21" spans="1:11" ht="18" customHeight="1">
      <c r="A21" s="577" t="s">
        <v>29</v>
      </c>
      <c r="C21" s="482"/>
    </row>
    <row r="22" spans="1:11" ht="18" customHeight="1">
      <c r="A22" s="500" t="s">
        <v>30</v>
      </c>
      <c r="C22" s="482"/>
    </row>
    <row r="23" spans="1:11" ht="18" customHeight="1">
      <c r="A23" s="499" t="s">
        <v>31</v>
      </c>
      <c r="C23" s="482"/>
    </row>
    <row r="24" spans="1:11" ht="18" customHeight="1">
      <c r="A24" s="495" t="s">
        <v>32</v>
      </c>
      <c r="B24" s="481"/>
    </row>
    <row r="25" spans="1:11" ht="18" customHeight="1">
      <c r="A25" s="495" t="s">
        <v>33</v>
      </c>
      <c r="B25" s="481"/>
    </row>
    <row r="26" spans="1:11" ht="18" customHeight="1">
      <c r="A26" s="495" t="s">
        <v>34</v>
      </c>
      <c r="B26" s="481"/>
    </row>
    <row r="27" spans="1:11" ht="18" customHeight="1">
      <c r="A27" s="494" t="s">
        <v>35</v>
      </c>
      <c r="B27" s="481"/>
    </row>
    <row r="28" spans="1:11" ht="18" customHeight="1">
      <c r="A28" s="499" t="s">
        <v>36</v>
      </c>
      <c r="B28" s="480"/>
    </row>
    <row r="29" spans="1:11" ht="18" customHeight="1">
      <c r="A29" s="500" t="s">
        <v>37</v>
      </c>
    </row>
    <row r="30" spans="1:11" ht="18" customHeight="1">
      <c r="A30" s="500" t="s">
        <v>38</v>
      </c>
      <c r="B30" s="482"/>
    </row>
    <row r="31" spans="1:11" ht="18" customHeight="1">
      <c r="A31" s="503" t="s">
        <v>39</v>
      </c>
      <c r="B31" s="482"/>
    </row>
    <row r="32" spans="1:11" ht="18" customHeight="1">
      <c r="A32" s="502" t="s">
        <v>40</v>
      </c>
      <c r="B32" s="482"/>
    </row>
    <row r="33" spans="1:1" ht="18" customHeight="1">
      <c r="A33" s="499" t="s">
        <v>41</v>
      </c>
    </row>
    <row r="34" spans="1:1" ht="18" customHeight="1">
      <c r="A34" s="500" t="s">
        <v>42</v>
      </c>
    </row>
    <row r="35" spans="1:1" ht="18" customHeight="1">
      <c r="A35" s="500" t="s">
        <v>43</v>
      </c>
    </row>
    <row r="36" spans="1:1" ht="20.100000000000001" customHeight="1">
      <c r="A36" s="500" t="s">
        <v>44</v>
      </c>
    </row>
    <row r="37" spans="1:1" ht="20.100000000000001" customHeight="1">
      <c r="A37" s="500" t="s">
        <v>45</v>
      </c>
    </row>
    <row r="38" spans="1:1" ht="20.100000000000001" customHeight="1">
      <c r="A38" s="578" t="s">
        <v>46</v>
      </c>
    </row>
    <row r="39" spans="1:1" ht="20.100000000000001" customHeight="1">
      <c r="A39" s="654" t="s">
        <v>47</v>
      </c>
    </row>
    <row r="40" spans="1:1" ht="20.100000000000001" customHeight="1">
      <c r="A40" s="501" t="s">
        <v>48</v>
      </c>
    </row>
    <row r="41" spans="1:1" ht="20.100000000000001" customHeight="1" thickBot="1">
      <c r="A41" s="579"/>
    </row>
    <row r="42" spans="1:1" ht="20.100000000000001" customHeight="1">
      <c r="A42" s="498" t="s">
        <v>49</v>
      </c>
    </row>
  </sheetData>
  <sheetProtection algorithmName="SHA-512" hashValue="inojhdE67PxDJitRPPSBYM6XR5IJpgpXbX4Q9kS3uHHu9J3C7WxElo2zyHxKdg0oaCWm0Jwmy2hl710YA3Hwew==" saltValue="k2J84EnW60XDPIsSHf5nRg==" spinCount="100000" sheet="1" objects="1" scenarios="1"/>
  <mergeCells count="9">
    <mergeCell ref="C5:F5"/>
    <mergeCell ref="C15:F15"/>
    <mergeCell ref="C10:C12"/>
    <mergeCell ref="C16:C17"/>
    <mergeCell ref="D16:E16"/>
    <mergeCell ref="D17:E17"/>
    <mergeCell ref="C7:C9"/>
    <mergeCell ref="F7:F9"/>
    <mergeCell ref="F10:F12"/>
  </mergeCells>
  <phoneticPr fontId="0" type="noConversion"/>
  <hyperlinks>
    <hyperlink ref="A39" r:id="rId1" xr:uid="{00000000-0004-0000-0000-000000000000}"/>
  </hyperlinks>
  <pageMargins left="0.75" right="0.75" top="1.0900000000000001" bottom="1" header="0.5" footer="0.5"/>
  <pageSetup orientation="portrait" blackAndWhite="1" horizontalDpi="300" verticalDpi="300" r:id="rId2"/>
  <headerFooter alignWithMargins="0"/>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O227"/>
  <sheetViews>
    <sheetView zoomScaleNormal="100" workbookViewId="0">
      <pane ySplit="6" topLeftCell="A7" activePane="bottomLeft" state="frozen"/>
      <selection pane="bottomLeft" sqref="A1:C1"/>
      <selection activeCell="A26" sqref="A26"/>
    </sheetView>
  </sheetViews>
  <sheetFormatPr defaultColWidth="9.140625" defaultRowHeight="12.75"/>
  <cols>
    <col min="1" max="1" width="7.85546875" style="223" customWidth="1"/>
    <col min="2" max="2" width="6.42578125" style="223" customWidth="1"/>
    <col min="3" max="3" width="27.42578125" customWidth="1"/>
    <col min="4" max="14" width="10.85546875" customWidth="1"/>
    <col min="15" max="15" width="34.42578125" customWidth="1"/>
  </cols>
  <sheetData>
    <row r="1" spans="1:15" ht="25.5" customHeight="1">
      <c r="A1" s="1010" t="s">
        <v>687</v>
      </c>
      <c r="B1" s="1047"/>
      <c r="C1" s="1028"/>
      <c r="D1" s="729" t="s">
        <v>434</v>
      </c>
      <c r="E1" s="842"/>
      <c r="F1" s="842"/>
      <c r="G1" s="842"/>
      <c r="H1" s="842"/>
      <c r="I1" s="842"/>
      <c r="J1" s="842"/>
      <c r="K1" s="842"/>
      <c r="L1" s="842"/>
      <c r="M1" s="803"/>
      <c r="N1" s="1015"/>
      <c r="O1" s="574" t="str">
        <f>Instructions!A42</f>
        <v>ORA Budget Form Revised  10/15/24</v>
      </c>
    </row>
    <row r="2" spans="1:15" ht="12.95" customHeight="1">
      <c r="A2" s="943" t="s">
        <v>435</v>
      </c>
      <c r="B2" s="1056"/>
      <c r="C2" s="474" t="s">
        <v>436</v>
      </c>
      <c r="D2" s="863" t="str">
        <f>IF(Sponsor!D2 = "", "", Sponsor!D2)</f>
        <v/>
      </c>
      <c r="E2" s="1016"/>
      <c r="F2" s="1016"/>
      <c r="G2" s="1017"/>
      <c r="H2" s="777" t="str">
        <f>UMYr1!H2</f>
        <v>People Soft Project #:</v>
      </c>
      <c r="I2" s="777"/>
      <c r="J2" s="779"/>
      <c r="K2" s="867" t="str">
        <f>IF(Sponsor!H2 = "", "", Sponsor!H2)</f>
        <v/>
      </c>
      <c r="L2" s="856"/>
      <c r="M2" s="569"/>
      <c r="N2" s="570"/>
    </row>
    <row r="3" spans="1:15" ht="12.95" customHeight="1">
      <c r="A3" s="723" t="s">
        <v>439</v>
      </c>
      <c r="B3" s="1070"/>
      <c r="C3" s="478" t="s">
        <v>440</v>
      </c>
      <c r="D3" s="854" t="str">
        <f>IF(Sponsor!D3 = "", "", Sponsor!D3)</f>
        <v/>
      </c>
      <c r="E3" s="946"/>
      <c r="F3" s="946"/>
      <c r="G3" s="866"/>
      <c r="H3" s="777" t="s">
        <v>637</v>
      </c>
      <c r="I3" s="777"/>
      <c r="J3" s="779"/>
      <c r="K3" s="864" t="str">
        <f>IF(Sponsor!H3 = "", "", Sponsor!H3)</f>
        <v/>
      </c>
      <c r="L3" s="905"/>
      <c r="M3" s="571"/>
      <c r="N3" s="27"/>
    </row>
    <row r="4" spans="1:15" ht="12.95" customHeight="1">
      <c r="A4" s="864" t="str">
        <f>IF(Sponsor!A4 = "", "", Sponsor!A4)</f>
        <v/>
      </c>
      <c r="B4" s="865"/>
      <c r="C4" s="474" t="s">
        <v>638</v>
      </c>
      <c r="D4" s="1018" t="str">
        <f>IF(Sponsor!D4 = "", "", Sponsor!D4)</f>
        <v/>
      </c>
      <c r="E4" s="1019"/>
      <c r="F4" s="904" t="str">
        <f>IF(Sponsor!E4 = "", "", Sponsor!E4)</f>
        <v/>
      </c>
      <c r="G4" s="905"/>
      <c r="H4" s="777" t="s">
        <v>639</v>
      </c>
      <c r="I4" s="777"/>
      <c r="J4" s="779"/>
      <c r="K4" s="1020" t="str">
        <f>IF(Sponsor!H4 = "", "", Sponsor!H4)</f>
        <v/>
      </c>
      <c r="L4" s="1021"/>
      <c r="M4" s="572" t="str">
        <f>IF(UMYr1!J2="","",UMYr1!J2)</f>
        <v/>
      </c>
      <c r="N4" s="573"/>
    </row>
    <row r="5" spans="1:15" ht="12.95" customHeight="1">
      <c r="A5" s="1013" t="s">
        <v>688</v>
      </c>
      <c r="B5" s="795" t="s">
        <v>446</v>
      </c>
      <c r="C5" s="801" t="s">
        <v>447</v>
      </c>
      <c r="D5" s="797" t="s">
        <v>433</v>
      </c>
      <c r="E5" s="857" t="s">
        <v>640</v>
      </c>
      <c r="F5" s="858"/>
      <c r="G5" s="858"/>
      <c r="H5" s="858"/>
      <c r="I5" s="858"/>
      <c r="J5" s="853"/>
      <c r="K5" s="848" t="s">
        <v>641</v>
      </c>
      <c r="L5" s="852" t="s">
        <v>642</v>
      </c>
      <c r="M5" s="1022"/>
      <c r="N5" s="1023" t="s">
        <v>643</v>
      </c>
    </row>
    <row r="6" spans="1:15" ht="12.95" customHeight="1">
      <c r="A6" s="1014"/>
      <c r="B6" s="796"/>
      <c r="C6" s="787"/>
      <c r="D6" s="798"/>
      <c r="E6" s="687" t="str">
        <f>UMYr1!E6</f>
        <v/>
      </c>
      <c r="F6" s="687" t="str">
        <f>UMYr1!F6</f>
        <v/>
      </c>
      <c r="G6" s="687" t="str">
        <f>UMYr1!G6</f>
        <v/>
      </c>
      <c r="H6" s="687" t="str">
        <f>UMYr1!H6</f>
        <v/>
      </c>
      <c r="I6" s="687" t="str">
        <f>UMYr1!I6</f>
        <v/>
      </c>
      <c r="J6" s="687" t="str">
        <f>UMYr4!J6</f>
        <v>Total UM</v>
      </c>
      <c r="K6" s="849"/>
      <c r="L6" s="19" t="str">
        <f>UMYr1!L6</f>
        <v>3rd Party</v>
      </c>
      <c r="M6" s="20" t="str">
        <f>UMYr1!M6</f>
        <v>Other</v>
      </c>
      <c r="N6" s="1024"/>
    </row>
    <row r="7" spans="1:15" ht="12.95" customHeight="1">
      <c r="A7" s="317"/>
      <c r="B7" s="14" t="s">
        <v>689</v>
      </c>
      <c r="C7" s="28"/>
      <c r="D7" s="28"/>
      <c r="E7" s="28"/>
      <c r="F7" s="28"/>
      <c r="G7" s="28"/>
      <c r="H7" s="28"/>
      <c r="I7" s="28"/>
      <c r="J7" s="28"/>
      <c r="K7" s="28"/>
      <c r="L7" s="28"/>
      <c r="M7" s="28"/>
      <c r="N7" s="172"/>
    </row>
    <row r="8" spans="1:15" ht="12.95" customHeight="1">
      <c r="A8" s="317" t="str">
        <f>IF(UMYr1!A8 = "","",UMYr1!A8)</f>
        <v/>
      </c>
      <c r="B8" s="679" t="str">
        <f>IF(UMYr1!B8 = "","",UMYr1!B8)</f>
        <v/>
      </c>
      <c r="C8" s="680" t="str">
        <f>IF(UMYr1!C8="","",UMYr1!C8)</f>
        <v/>
      </c>
      <c r="D8" s="30">
        <f>Sponsor!I8</f>
        <v>0</v>
      </c>
      <c r="E8" s="29">
        <f>UMYr1!E8+UMYr2!E8+UMYr3!E8+UMYr4!E8+UMYr5!E8</f>
        <v>0</v>
      </c>
      <c r="F8" s="29">
        <f>UMYr1!F8+UMYr2!F8+UMYr3!F8+UMYr4!F8+UMYr5!F8</f>
        <v>0</v>
      </c>
      <c r="G8" s="29">
        <f>UMYr1!G8+UMYr2!G8+UMYr3!G8+UMYr4!G8+UMYr5!G8</f>
        <v>0</v>
      </c>
      <c r="H8" s="29">
        <f>UMYr1!H8+UMYr2!H8+UMYr3!H8+UMYr4!H8+UMYr5!H8</f>
        <v>0</v>
      </c>
      <c r="I8" s="29">
        <f>UMYr1!I8+UMYr2!I8+UMYr3!I8+UMYr4!I8+UMYr5!I8</f>
        <v>0</v>
      </c>
      <c r="J8" s="29">
        <f>UMYr1!J8+UMYr2!J8+UMYr3!J8+UMYr4!J8+UMYr5!J8</f>
        <v>0</v>
      </c>
      <c r="K8" s="30">
        <f>UMYr1!K8+UMYr2!K8+UMYr3!K8+UMYr4!K8+UMYr5!K8</f>
        <v>0</v>
      </c>
      <c r="L8" s="29">
        <f>UMYr1!L8+UMYr2!L8+UMYr3!L8+UMYr4!L8+UMYr5!L8</f>
        <v>0</v>
      </c>
      <c r="M8" s="29">
        <f>UMYr1!M8+UMYr2!M8+UMYr3!M8+UMYr4!M8+UMYr5!M8</f>
        <v>0</v>
      </c>
      <c r="N8" s="77">
        <f>UMYr1!N8+UMYr2!N8+UMYr3!N8+UMYr4!N8+UMYr5!N8</f>
        <v>0</v>
      </c>
    </row>
    <row r="9" spans="1:15" ht="12.95" customHeight="1">
      <c r="A9" s="317" t="str">
        <f>IF(UMYr1!A9 = "","",UMYr1!A9)</f>
        <v/>
      </c>
      <c r="B9" s="679" t="str">
        <f>IF(UMYr1!B9 = "","",UMYr1!B9)</f>
        <v/>
      </c>
      <c r="C9" s="680" t="str">
        <f>IF(UMYr1!C9="","",UMYr1!C9)</f>
        <v/>
      </c>
      <c r="D9" s="32">
        <f>Sponsor!I9</f>
        <v>0</v>
      </c>
      <c r="E9" s="31">
        <f>UMYr1!E9+UMYr2!E9+UMYr3!E9+UMYr4!E9+UMYr5!E9</f>
        <v>0</v>
      </c>
      <c r="F9" s="31">
        <f>UMYr1!F9+UMYr2!F9+UMYr3!F9+UMYr4!F9+UMYr5!F9</f>
        <v>0</v>
      </c>
      <c r="G9" s="31">
        <f>UMYr1!G9+UMYr2!G9+UMYr3!G9+UMYr4!G9+UMYr5!G9</f>
        <v>0</v>
      </c>
      <c r="H9" s="31">
        <f>UMYr1!H9+UMYr2!H9+UMYr3!H9+UMYr4!H9+UMYr5!H9</f>
        <v>0</v>
      </c>
      <c r="I9" s="31">
        <f>UMYr1!I9+UMYr2!I9+UMYr3!I9+UMYr4!I9+UMYr5!I9</f>
        <v>0</v>
      </c>
      <c r="J9" s="31">
        <f>UMYr1!J9+UMYr2!J9+UMYr3!J9+UMYr4!J9+UMYr5!J9</f>
        <v>0</v>
      </c>
      <c r="K9" s="32">
        <f>UMYr1!K9+UMYr2!K9+UMYr3!K9+UMYr4!K9+UMYr5!K9</f>
        <v>0</v>
      </c>
      <c r="L9" s="31">
        <f>UMYr1!L9+UMYr2!L9+UMYr3!L9+UMYr4!L9+UMYr5!L9</f>
        <v>0</v>
      </c>
      <c r="M9" s="31">
        <f>UMYr1!M9+UMYr2!M9+UMYr3!M9+UMYr4!M9+UMYr5!M9</f>
        <v>0</v>
      </c>
      <c r="N9" s="78">
        <f>UMYr1!N9+UMYr2!N9+UMYr3!N9+UMYr4!N9+UMYr5!N9</f>
        <v>0</v>
      </c>
    </row>
    <row r="10" spans="1:15" ht="12.95" customHeight="1">
      <c r="A10" s="317" t="str">
        <f>IF(UMYr1!A10 = "","",UMYr1!A10)</f>
        <v/>
      </c>
      <c r="B10" s="679" t="str">
        <f>IF(UMYr1!B10 = "","",UMYr1!B10)</f>
        <v/>
      </c>
      <c r="C10" s="680" t="str">
        <f>IF(UMYr1!C10="","",UMYr1!C10)</f>
        <v/>
      </c>
      <c r="D10" s="32">
        <f>Sponsor!I10</f>
        <v>0</v>
      </c>
      <c r="E10" s="31">
        <f>UMYr1!E10+UMYr2!E10+UMYr3!E10+UMYr4!E10+UMYr5!E10</f>
        <v>0</v>
      </c>
      <c r="F10" s="31">
        <f>UMYr1!F10+UMYr2!F10+UMYr3!F10+UMYr4!F10+UMYr5!F10</f>
        <v>0</v>
      </c>
      <c r="G10" s="31">
        <f>UMYr1!G10+UMYr2!G10+UMYr3!G10+UMYr4!G10+UMYr5!G10</f>
        <v>0</v>
      </c>
      <c r="H10" s="31">
        <f>UMYr1!H10+UMYr2!H10+UMYr3!H10+UMYr4!H10+UMYr5!H10</f>
        <v>0</v>
      </c>
      <c r="I10" s="31">
        <f>UMYr1!I10+UMYr2!I10+UMYr3!I10+UMYr4!I10+UMYr5!I10</f>
        <v>0</v>
      </c>
      <c r="J10" s="31">
        <f>UMYr1!J10+UMYr2!J10+UMYr3!J10+UMYr4!J10+UMYr5!J10</f>
        <v>0</v>
      </c>
      <c r="K10" s="32">
        <f>UMYr1!K10+UMYr2!K10+UMYr3!K10+UMYr4!K10+UMYr5!K10</f>
        <v>0</v>
      </c>
      <c r="L10" s="31">
        <f>UMYr1!L10+UMYr2!L10+UMYr3!L10+UMYr4!L10+UMYr5!L10</f>
        <v>0</v>
      </c>
      <c r="M10" s="31">
        <f>UMYr1!M10+UMYr2!M10+UMYr3!M10+UMYr4!M10+UMYr5!M10</f>
        <v>0</v>
      </c>
      <c r="N10" s="78">
        <f>UMYr1!N10+UMYr2!N10+UMYr3!N10+UMYr4!N10+UMYr5!N10</f>
        <v>0</v>
      </c>
    </row>
    <row r="11" spans="1:15" ht="12.95" customHeight="1">
      <c r="A11" s="317" t="str">
        <f>IF(UMYr1!A11 = "","",UMYr1!A11)</f>
        <v/>
      </c>
      <c r="B11" s="679" t="str">
        <f>IF(UMYr1!B11 = "","",UMYr1!B11)</f>
        <v/>
      </c>
      <c r="C11" s="680" t="str">
        <f>IF(UMYr1!C11="","",UMYr1!C11)</f>
        <v/>
      </c>
      <c r="D11" s="32">
        <f>Sponsor!I11</f>
        <v>0</v>
      </c>
      <c r="E11" s="31">
        <f>UMYr1!E11+UMYr2!E11+UMYr3!E11+UMYr4!E11+UMYr5!E11</f>
        <v>0</v>
      </c>
      <c r="F11" s="31">
        <f>UMYr1!F11+UMYr2!F11+UMYr3!F11+UMYr4!F11+UMYr5!F11</f>
        <v>0</v>
      </c>
      <c r="G11" s="31">
        <f>UMYr1!G11+UMYr2!G11+UMYr3!G11+UMYr4!G11+UMYr5!G11</f>
        <v>0</v>
      </c>
      <c r="H11" s="31">
        <f>UMYr1!H11+UMYr2!H11+UMYr3!H11+UMYr4!H11+UMYr5!H11</f>
        <v>0</v>
      </c>
      <c r="I11" s="31">
        <f>UMYr1!I11+UMYr2!I11+UMYr3!I11+UMYr4!I11+UMYr5!I11</f>
        <v>0</v>
      </c>
      <c r="J11" s="31">
        <f>UMYr1!J11+UMYr2!J11+UMYr3!J11+UMYr4!J11+UMYr5!J11</f>
        <v>0</v>
      </c>
      <c r="K11" s="32">
        <f>UMYr1!K11+UMYr2!K11+UMYr3!K11+UMYr4!K11+UMYr5!K11</f>
        <v>0</v>
      </c>
      <c r="L11" s="31">
        <f>UMYr1!L11+UMYr2!L11+UMYr3!L11+UMYr4!L11+UMYr5!L11</f>
        <v>0</v>
      </c>
      <c r="M11" s="31">
        <f>UMYr1!M11+UMYr2!M11+UMYr3!M11+UMYr4!M11+UMYr5!M11</f>
        <v>0</v>
      </c>
      <c r="N11" s="78">
        <f>UMYr1!N11+UMYr2!N11+UMYr3!N11+UMYr4!N11+UMYr5!N11</f>
        <v>0</v>
      </c>
    </row>
    <row r="12" spans="1:15" ht="12.95" customHeight="1">
      <c r="A12" s="317" t="str">
        <f>IF(UMYr1!A12 = "","",UMYr1!A12)</f>
        <v>Below</v>
      </c>
      <c r="B12" s="789" t="s">
        <v>690</v>
      </c>
      <c r="C12" s="763"/>
      <c r="D12" s="25">
        <f>Sponsor!I12</f>
        <v>0</v>
      </c>
      <c r="E12" s="33">
        <f>UMYr1!E12+UMYr2!E12+UMYr3!E12+UMYr4!E12+UMYr5!E12</f>
        <v>0</v>
      </c>
      <c r="F12" s="23">
        <f>UMYr1!F12+UMYr2!F12+UMYr3!F12+UMYr4!F12+UMYr5!F12</f>
        <v>0</v>
      </c>
      <c r="G12" s="23">
        <f>UMYr1!G12+UMYr2!G12+UMYr3!G12+UMYr4!G12+UMYr5!G12</f>
        <v>0</v>
      </c>
      <c r="H12" s="23">
        <f>UMYr1!H12+UMYr2!H12+UMYr3!H12+UMYr4!H12+UMYr5!H12</f>
        <v>0</v>
      </c>
      <c r="I12" s="23">
        <f>UMYr1!I12+UMYr2!I12+UMYr3!I12+UMYr4!I12+UMYr5!I12</f>
        <v>0</v>
      </c>
      <c r="J12" s="31">
        <f>UMYr1!J12+UMYr2!J12+UMYr3!J12+UMYr4!J12+UMYr5!J12</f>
        <v>0</v>
      </c>
      <c r="K12" s="25">
        <f>UMYr1!K12+UMYr2!K12+UMYr3!K12+UMYr4!K12+UMYr5!K12</f>
        <v>0</v>
      </c>
      <c r="L12" s="33">
        <f>UMYr1!L12+UMYr2!L12+UMYr3!L12+UMYr4!L12+UMYr5!L12</f>
        <v>0</v>
      </c>
      <c r="M12" s="23">
        <f>UMYr1!M12+UMYr2!M12+UMYr3!M12+UMYr4!M12+UMYr5!M12</f>
        <v>0</v>
      </c>
      <c r="N12" s="173">
        <f>UMYr1!N12+UMYr2!N12+UMYr3!N12+UMYr4!N12+UMYr5!N12</f>
        <v>0</v>
      </c>
    </row>
    <row r="13" spans="1:15" ht="12.95" customHeight="1">
      <c r="A13" s="317" t="str">
        <f>IF(UMYr1!A13 = "","",UMYr1!A13)</f>
        <v/>
      </c>
      <c r="B13" s="752" t="s">
        <v>473</v>
      </c>
      <c r="C13" s="753"/>
      <c r="D13" s="26">
        <f>Sponsor!I13</f>
        <v>0</v>
      </c>
      <c r="E13" s="34">
        <f>UMYr1!E13+UMYr2!E13+UMYr3!E13+UMYr4!E13+UMYr5!E13</f>
        <v>0</v>
      </c>
      <c r="F13" s="34">
        <f>UMYr1!F13+UMYr2!F13+UMYr3!F13+UMYr4!F13+UMYr5!F13</f>
        <v>0</v>
      </c>
      <c r="G13" s="34">
        <f>UMYr1!G13+UMYr2!G13+UMYr3!G13+UMYr4!G13+UMYr5!G13</f>
        <v>0</v>
      </c>
      <c r="H13" s="34">
        <f>UMYr1!H13+UMYr2!H13+UMYr3!H13+UMYr4!H13+UMYr5!H13</f>
        <v>0</v>
      </c>
      <c r="I13" s="34">
        <f>UMYr1!I13+UMYr2!I13+UMYr3!I13+UMYr4!I13+UMYr5!I13</f>
        <v>0</v>
      </c>
      <c r="J13" s="31">
        <f>UMYr1!J13+UMYr2!J13+UMYr3!J13+UMYr4!J13+UMYr5!J13</f>
        <v>0</v>
      </c>
      <c r="K13" s="26">
        <f>UMYr1!K13+UMYr2!K13+UMYr3!K13+UMYr4!K13+UMYr5!K13</f>
        <v>0</v>
      </c>
      <c r="L13" s="35">
        <f>UMYr1!L13+UMYr2!L13+UMYr3!L13+UMYr4!L13+UMYr5!L13</f>
        <v>0</v>
      </c>
      <c r="M13" s="34">
        <f>UMYr1!M13+UMYr2!M13+UMYr3!M13+UMYr4!M13+UMYr5!M13</f>
        <v>0</v>
      </c>
      <c r="N13" s="174">
        <f>UMYr1!N13+UMYr2!N13+UMYr3!N13+UMYr4!N13+UMYr5!N13</f>
        <v>0</v>
      </c>
    </row>
    <row r="14" spans="1:15" ht="12.95" customHeight="1">
      <c r="A14" s="317" t="str">
        <f>IF(UMYr1!A14 = "","",UMYr1!A14)</f>
        <v/>
      </c>
      <c r="B14" s="14" t="s">
        <v>477</v>
      </c>
      <c r="C14" s="28"/>
      <c r="D14" s="28"/>
      <c r="E14" s="28"/>
      <c r="F14" s="28"/>
      <c r="G14" s="28"/>
      <c r="H14" s="28"/>
      <c r="I14" s="28"/>
      <c r="J14" s="28"/>
      <c r="K14" s="28"/>
      <c r="L14" s="28"/>
      <c r="M14" s="28"/>
      <c r="N14" s="172"/>
    </row>
    <row r="15" spans="1:15" ht="12.95" customHeight="1">
      <c r="A15" s="317">
        <f>IF(UMYr1!A15 = "","",UMYr1!A15)</f>
        <v>51100</v>
      </c>
      <c r="B15" s="679" t="str">
        <f>IF(UMYr1!B15 = "","",UMYr1!B15)</f>
        <v/>
      </c>
      <c r="C15" s="36" t="str">
        <f>UMYr1!C15</f>
        <v>Post Doctoral Associates</v>
      </c>
      <c r="D15" s="30">
        <f>Sponsor!I15</f>
        <v>0</v>
      </c>
      <c r="E15" s="31">
        <f>UMYr1!E15+UMYr2!E15+UMYr3!E15+UMYr4!E15+UMYr5!E15</f>
        <v>0</v>
      </c>
      <c r="F15" s="31">
        <f>UMYr1!F15+UMYr2!F15+UMYr3!F15+UMYr4!F15+UMYr5!F15</f>
        <v>0</v>
      </c>
      <c r="G15" s="31">
        <f>UMYr1!G15+UMYr2!G15+UMYr3!G15+UMYr4!G15+UMYr5!G15</f>
        <v>0</v>
      </c>
      <c r="H15" s="31">
        <f>UMYr1!H15+UMYr2!H15+UMYr3!H15+UMYr4!H15+UMYr5!H15</f>
        <v>0</v>
      </c>
      <c r="I15" s="31">
        <f>UMYr1!I15+UMYr2!I15+UMYr3!I15+UMYr4!I15+UMYr5!I15</f>
        <v>0</v>
      </c>
      <c r="J15" s="31">
        <f>UMYr1!J15+UMYr2!J15+UMYr3!J15+UMYr4!J15+UMYr5!J15</f>
        <v>0</v>
      </c>
      <c r="K15" s="30">
        <f>UMYr1!K15+UMYr2!K15+UMYr3!K15+UMYr4!K15+UMYr5!K15</f>
        <v>0</v>
      </c>
      <c r="L15" s="31">
        <f>UMYr1!L15+UMYr2!L15+UMYr3!L15+UMYr4!L15+UMYr5!L15</f>
        <v>0</v>
      </c>
      <c r="M15" s="31">
        <f>UMYr1!M15+UMYr2!M15+UMYr3!M15+UMYr4!M15+UMYr5!M15</f>
        <v>0</v>
      </c>
      <c r="N15" s="77">
        <f>UMYr1!N15+UMYr2!N15+UMYr3!N15+UMYr4!N15+UMYr5!N15</f>
        <v>0</v>
      </c>
    </row>
    <row r="16" spans="1:15" ht="12.95" customHeight="1">
      <c r="A16" s="317">
        <f>IF(UMYr1!A16 = "","",UMYr1!A16)</f>
        <v>51100</v>
      </c>
      <c r="B16" s="679" t="str">
        <f>IF(UMYr1!B16 = "","",UMYr1!B16)</f>
        <v/>
      </c>
      <c r="C16" s="37" t="str">
        <f>UMYr1!C16</f>
        <v>Other Professionals</v>
      </c>
      <c r="D16" s="32">
        <f>Sponsor!I16</f>
        <v>0</v>
      </c>
      <c r="E16" s="31">
        <f>UMYr1!E16+UMYr2!E16+UMYr3!E16+UMYr4!E16+UMYr5!E16</f>
        <v>0</v>
      </c>
      <c r="F16" s="31">
        <f>UMYr1!F16+UMYr2!F16+UMYr3!F16+UMYr4!F16+UMYr5!F16</f>
        <v>0</v>
      </c>
      <c r="G16" s="31">
        <f>UMYr1!G16+UMYr2!G16+UMYr3!G16+UMYr4!G16+UMYr5!G16</f>
        <v>0</v>
      </c>
      <c r="H16" s="31">
        <f>UMYr1!H16+UMYr2!H16+UMYr3!H16+UMYr4!H16+UMYr5!H16</f>
        <v>0</v>
      </c>
      <c r="I16" s="31">
        <f>UMYr1!I16+UMYr2!I16+UMYr3!I16+UMYr4!I16+UMYr5!I16</f>
        <v>0</v>
      </c>
      <c r="J16" s="31">
        <f>UMYr1!J16+UMYr2!J16+UMYr3!J16+UMYr4!J16+UMYr5!J16</f>
        <v>0</v>
      </c>
      <c r="K16" s="32">
        <f>UMYr1!K16+UMYr2!K16+UMYr3!K16+UMYr4!K16+UMYr5!K16</f>
        <v>0</v>
      </c>
      <c r="L16" s="31">
        <f>UMYr1!L16+UMYr2!L16+UMYr3!L16+UMYr4!L16+UMYr5!L16</f>
        <v>0</v>
      </c>
      <c r="M16" s="31">
        <f>UMYr1!M16+UMYr2!M16+UMYr3!M16+UMYr4!M16+UMYr5!M16</f>
        <v>0</v>
      </c>
      <c r="N16" s="78">
        <f>UMYr1!N16+UMYr2!N16+UMYr3!N16+UMYr4!N16+UMYr5!N16</f>
        <v>0</v>
      </c>
    </row>
    <row r="17" spans="1:14" ht="12.95" customHeight="1">
      <c r="A17" s="317">
        <f>IF(UMYr1!A17 = "","",UMYr1!A17)</f>
        <v>53601</v>
      </c>
      <c r="B17" s="679" t="str">
        <f>IF(UMYr1!B17 = "","",UMYr1!B17)</f>
        <v/>
      </c>
      <c r="C17" s="37" t="str">
        <f>UMYr1!C17</f>
        <v>Graduate Students</v>
      </c>
      <c r="D17" s="32">
        <f>Sponsor!I17</f>
        <v>0</v>
      </c>
      <c r="E17" s="31">
        <f>UMYr1!E17+UMYr2!E17+UMYr3!E17+UMYr4!E17+UMYr5!E17</f>
        <v>0</v>
      </c>
      <c r="F17" s="31">
        <f>UMYr1!F17+UMYr2!F17+UMYr3!F17+UMYr4!F17+UMYr5!F17</f>
        <v>0</v>
      </c>
      <c r="G17" s="31">
        <f>UMYr1!G17+UMYr2!G17+UMYr3!G17+UMYr4!G17+UMYr5!G17</f>
        <v>0</v>
      </c>
      <c r="H17" s="31">
        <f>UMYr1!H17+UMYr2!H17+UMYr3!H17+UMYr4!H17+UMYr5!H17</f>
        <v>0</v>
      </c>
      <c r="I17" s="31">
        <f>UMYr1!I17+UMYr2!I17+UMYr3!I17+UMYr4!I17+UMYr5!I17</f>
        <v>0</v>
      </c>
      <c r="J17" s="31">
        <f>UMYr1!J17+UMYr2!J17+UMYr3!J17+UMYr4!J17+UMYr5!J17</f>
        <v>0</v>
      </c>
      <c r="K17" s="32">
        <f>UMYr1!K17+UMYr2!K17+UMYr3!K17+UMYr4!K17+UMYr5!K17</f>
        <v>0</v>
      </c>
      <c r="L17" s="31">
        <f>UMYr1!L17+UMYr2!L17+UMYr3!L17+UMYr4!L17+UMYr5!L17</f>
        <v>0</v>
      </c>
      <c r="M17" s="31">
        <f>UMYr1!M17+UMYr2!M17+UMYr3!M17+UMYr4!M17+UMYr5!M17</f>
        <v>0</v>
      </c>
      <c r="N17" s="78">
        <f>UMYr1!N17+UMYr2!N17+UMYr3!N17+UMYr4!N17+UMYr5!N17</f>
        <v>0</v>
      </c>
    </row>
    <row r="18" spans="1:14" ht="12.95" customHeight="1">
      <c r="A18" s="317">
        <f>IF(UMYr1!A18 = "","",UMYr1!A18)</f>
        <v>53300</v>
      </c>
      <c r="B18" s="679" t="str">
        <f>IF(UMYr1!B18 = "","",UMYr1!B18)</f>
        <v/>
      </c>
      <c r="C18" s="37" t="str">
        <f>UMYr1!C18</f>
        <v>Undergraduate Students</v>
      </c>
      <c r="D18" s="32">
        <f>Sponsor!I18</f>
        <v>0</v>
      </c>
      <c r="E18" s="31">
        <f>UMYr1!E18+UMYr2!E18+UMYr3!E18+UMYr4!E18+UMYr5!E18</f>
        <v>0</v>
      </c>
      <c r="F18" s="31">
        <f>UMYr1!F18+UMYr2!F18+UMYr3!F18+UMYr4!F18+UMYr5!F18</f>
        <v>0</v>
      </c>
      <c r="G18" s="31">
        <f>UMYr1!G18+UMYr2!G18+UMYr3!G18+UMYr4!G18+UMYr5!G18</f>
        <v>0</v>
      </c>
      <c r="H18" s="31">
        <f>UMYr1!H18+UMYr2!H18+UMYr3!H18+UMYr4!H18+UMYr5!H18</f>
        <v>0</v>
      </c>
      <c r="I18" s="31">
        <f>UMYr1!I18+UMYr2!I18+UMYr3!I18+UMYr4!I18+UMYr5!I18</f>
        <v>0</v>
      </c>
      <c r="J18" s="31">
        <f>UMYr1!J18+UMYr2!J18+UMYr3!J18+UMYr4!J18+UMYr5!J18</f>
        <v>0</v>
      </c>
      <c r="K18" s="32">
        <f>UMYr1!K18+UMYr2!K18+UMYr3!K18+UMYr4!K18+UMYr5!K18</f>
        <v>0</v>
      </c>
      <c r="L18" s="31">
        <f>UMYr1!L18+UMYr2!L18+UMYr3!L18+UMYr4!L18+UMYr5!L18</f>
        <v>0</v>
      </c>
      <c r="M18" s="31">
        <f>UMYr1!M18+UMYr2!M18+UMYr3!M18+UMYr4!M18+UMYr5!M18</f>
        <v>0</v>
      </c>
      <c r="N18" s="78">
        <f>UMYr1!N18+UMYr2!N18+UMYr3!N18+UMYr4!N18+UMYr5!N18</f>
        <v>0</v>
      </c>
    </row>
    <row r="19" spans="1:14" ht="12.95" customHeight="1">
      <c r="A19" s="317">
        <f>IF(UMYr1!A19 = "","",UMYr1!A19)</f>
        <v>52200</v>
      </c>
      <c r="B19" s="679" t="str">
        <f>IF(UMYr1!B19 = "","",UMYr1!B19)</f>
        <v/>
      </c>
      <c r="C19" s="37" t="str">
        <f>UMYr1!C19</f>
        <v>Regular Classified Employees</v>
      </c>
      <c r="D19" s="32">
        <f>Sponsor!I19</f>
        <v>0</v>
      </c>
      <c r="E19" s="31">
        <f>UMYr1!E19+UMYr2!E19+UMYr3!E19+UMYr4!E19+UMYr5!E19</f>
        <v>0</v>
      </c>
      <c r="F19" s="31">
        <f>UMYr1!F19+UMYr2!F19+UMYr3!F19+UMYr4!F19+UMYr5!F19</f>
        <v>0</v>
      </c>
      <c r="G19" s="31">
        <f>UMYr1!G19+UMYr2!G19+UMYr3!G19+UMYr4!G19+UMYr5!G19</f>
        <v>0</v>
      </c>
      <c r="H19" s="31">
        <f>UMYr1!H19+UMYr2!H19+UMYr3!H19+UMYr4!H19+UMYr5!H19</f>
        <v>0</v>
      </c>
      <c r="I19" s="31">
        <f>UMYr1!I19+UMYr2!I19+UMYr3!I19+UMYr4!I19+UMYr5!I19</f>
        <v>0</v>
      </c>
      <c r="J19" s="31">
        <f>UMYr1!J19+UMYr2!J19+UMYr3!J19+UMYr4!J19+UMYr5!J19</f>
        <v>0</v>
      </c>
      <c r="K19" s="32">
        <f>UMYr1!K19+UMYr2!K19+UMYr3!K19+UMYr4!K19+UMYr5!K19</f>
        <v>0</v>
      </c>
      <c r="L19" s="31">
        <f>UMYr1!L19+UMYr2!L19+UMYr3!L19+UMYr4!L19+UMYr5!L19</f>
        <v>0</v>
      </c>
      <c r="M19" s="31">
        <f>UMYr1!M19+UMYr2!M19+UMYr3!M19+UMYr4!M19+UMYr5!M19</f>
        <v>0</v>
      </c>
      <c r="N19" s="78">
        <f>UMYr1!N19+UMYr2!N19+UMYr3!N19+UMYr4!N19+UMYr5!N19</f>
        <v>0</v>
      </c>
    </row>
    <row r="20" spans="1:14" ht="12.95" customHeight="1">
      <c r="A20" s="317">
        <f>IF(UMYr1!A20 = "","",UMYr1!A20)</f>
        <v>51012</v>
      </c>
      <c r="B20" s="679" t="str">
        <f>IF(UMYr1!B20 = "","",UMYr1!B20)</f>
        <v/>
      </c>
      <c r="C20" s="37" t="str">
        <f>UMYr1!C20</f>
        <v>Non-faculty Temp Employees</v>
      </c>
      <c r="D20" s="32">
        <f>Sponsor!I20</f>
        <v>0</v>
      </c>
      <c r="E20" s="31">
        <f>UMYr1!E20+UMYr2!E20+UMYr3!E20+UMYr4!E20+UMYr5!E20</f>
        <v>0</v>
      </c>
      <c r="F20" s="31">
        <f>UMYr1!F20+UMYr2!F20+UMYr3!F20+UMYr4!F20+UMYr5!F20</f>
        <v>0</v>
      </c>
      <c r="G20" s="31">
        <f>UMYr1!G20+UMYr2!G20+UMYr3!G20+UMYr4!G20+UMYr5!G20</f>
        <v>0</v>
      </c>
      <c r="H20" s="31">
        <f>UMYr1!H20+UMYr2!H20+UMYr3!H20+UMYr4!H20+UMYr5!H20</f>
        <v>0</v>
      </c>
      <c r="I20" s="31">
        <f>UMYr1!I20+UMYr2!I20+UMYr3!I20+UMYr4!I20+UMYr5!I20</f>
        <v>0</v>
      </c>
      <c r="J20" s="31">
        <f>UMYr1!J20+UMYr2!J20+UMYr3!J20+UMYr4!J20+UMYr5!J20</f>
        <v>0</v>
      </c>
      <c r="K20" s="32">
        <f>UMYr1!K20+UMYr2!K20+UMYr3!K20+UMYr4!K20+UMYr5!K20</f>
        <v>0</v>
      </c>
      <c r="L20" s="31">
        <f>UMYr1!L20+UMYr2!L20+UMYr3!L20+UMYr4!L20+UMYr5!L20</f>
        <v>0</v>
      </c>
      <c r="M20" s="31">
        <f>UMYr1!M20+UMYr2!M20+UMYr3!M20+UMYr4!M20+UMYr5!M20</f>
        <v>0</v>
      </c>
      <c r="N20" s="78">
        <f>UMYr1!N20+UMYr2!N20+UMYr3!N20+UMYr4!N20+UMYr5!N20</f>
        <v>0</v>
      </c>
    </row>
    <row r="21" spans="1:14" ht="12.95" customHeight="1">
      <c r="A21" s="317">
        <f>IF(UMYr1!A21 = "","",UMYr1!A21)</f>
        <v>52012</v>
      </c>
      <c r="B21" s="679" t="str">
        <f>IF(UMYr1!B21 = "","",UMYr1!B21)</f>
        <v/>
      </c>
      <c r="C21" s="37" t="str">
        <f>UMYr1!C21</f>
        <v>Temp Classified Employees</v>
      </c>
      <c r="D21" s="32">
        <f>Sponsor!I21</f>
        <v>0</v>
      </c>
      <c r="E21" s="31">
        <f>UMYr1!E21+UMYr2!E21+UMYr3!E21+UMYr4!E21+UMYr5!E21</f>
        <v>0</v>
      </c>
      <c r="F21" s="31">
        <f>UMYr1!F21+UMYr2!F21+UMYr3!F21+UMYr4!F21+UMYr5!F21</f>
        <v>0</v>
      </c>
      <c r="G21" s="31">
        <f>UMYr1!G21+UMYr2!G21+UMYr3!G21+UMYr4!G21+UMYr5!G21</f>
        <v>0</v>
      </c>
      <c r="H21" s="31">
        <f>UMYr1!H21+UMYr2!H21+UMYr3!H21+UMYr4!H21+UMYr5!H21</f>
        <v>0</v>
      </c>
      <c r="I21" s="31">
        <f>UMYr1!I21+UMYr2!I21+UMYr3!I21+UMYr4!I21+UMYr5!I21</f>
        <v>0</v>
      </c>
      <c r="J21" s="31">
        <f>UMYr1!J21+UMYr2!J21+UMYr3!J21+UMYr4!J21+UMYr5!J21</f>
        <v>0</v>
      </c>
      <c r="K21" s="32">
        <f>UMYr1!K21+UMYr2!K21+UMYr3!K21+UMYr4!K21+UMYr5!K21</f>
        <v>0</v>
      </c>
      <c r="L21" s="31">
        <f>UMYr1!L21+UMYr2!L21+UMYr3!L21+UMYr4!L21+UMYr5!L21</f>
        <v>0</v>
      </c>
      <c r="M21" s="31">
        <f>UMYr1!M21+UMYr2!M21+UMYr3!M21+UMYr4!M21+UMYr5!M21</f>
        <v>0</v>
      </c>
      <c r="N21" s="78">
        <f>UMYr1!N21+UMYr2!N21+UMYr3!N21+UMYr4!N21+UMYr5!N21</f>
        <v>0</v>
      </c>
    </row>
    <row r="22" spans="1:14" ht="12.95" customHeight="1">
      <c r="A22" s="317" t="str">
        <f>IF(UMYr1!A22 = "","",UMYr1!A22)</f>
        <v/>
      </c>
      <c r="B22" s="679" t="str">
        <f>IF(UMYr1!B22 = "","",UMYr1!B22)</f>
        <v>****</v>
      </c>
      <c r="C22" s="37" t="str">
        <f>UMYr1!C22</f>
        <v>Other</v>
      </c>
      <c r="D22" s="32">
        <f>Sponsor!I22</f>
        <v>0</v>
      </c>
      <c r="E22" s="31">
        <f>UMYr1!E22+UMYr2!E22+UMYr3!E22+UMYr4!E22+UMYr5!E22</f>
        <v>0</v>
      </c>
      <c r="F22" s="31">
        <f>UMYr1!F22+UMYr2!F22+UMYr3!F22+UMYr4!F22+UMYr5!F22</f>
        <v>0</v>
      </c>
      <c r="G22" s="31">
        <f>UMYr1!G22+UMYr2!G22+UMYr3!G22+UMYr4!G22+UMYr5!G22</f>
        <v>0</v>
      </c>
      <c r="H22" s="31">
        <f>UMYr1!H22+UMYr2!H22+UMYr3!H22+UMYr4!H22+UMYr5!H22</f>
        <v>0</v>
      </c>
      <c r="I22" s="31">
        <f>UMYr1!I22+UMYr2!I22+UMYr3!I22+UMYr4!I22+UMYr5!I22</f>
        <v>0</v>
      </c>
      <c r="J22" s="31">
        <f>UMYr1!J22+UMYr2!J22+UMYr3!J22+UMYr4!J22+UMYr5!J22</f>
        <v>0</v>
      </c>
      <c r="K22" s="32">
        <f>UMYr1!K22+UMYr2!K22+UMYr3!K22+UMYr4!K22+UMYr5!K22</f>
        <v>0</v>
      </c>
      <c r="L22" s="31">
        <f>UMYr1!L22+UMYr2!L22+UMYr3!L22+UMYr4!L22+UMYr5!L22</f>
        <v>0</v>
      </c>
      <c r="M22" s="31">
        <f>UMYr1!M22+UMYr2!M22+UMYr3!M22+UMYr4!M22+UMYr5!M22</f>
        <v>0</v>
      </c>
      <c r="N22" s="78">
        <f>UMYr1!N22+UMYr2!N22+UMYr3!N22+UMYr4!N22+UMYr5!N22</f>
        <v>0</v>
      </c>
    </row>
    <row r="23" spans="1:14" ht="12.95" customHeight="1">
      <c r="A23" s="317" t="str">
        <f>IF(UMYr1!A23 = "","",UMYr1!A23)</f>
        <v/>
      </c>
      <c r="B23" s="789" t="s">
        <v>494</v>
      </c>
      <c r="C23" s="763"/>
      <c r="D23" s="25">
        <f>Sponsor!I23</f>
        <v>0</v>
      </c>
      <c r="E23" s="23">
        <f>UMYr1!E23+UMYr2!E23+UMYr3!E23+UMYr4!E23+UMYr5!E23</f>
        <v>0</v>
      </c>
      <c r="F23" s="23">
        <f>UMYr1!F23+UMYr2!F23+UMYr3!F23+UMYr4!F23+UMYr5!F23</f>
        <v>0</v>
      </c>
      <c r="G23" s="23">
        <f>UMYr1!G23+UMYr2!G23+UMYr3!G23+UMYr4!G23+UMYr5!G23</f>
        <v>0</v>
      </c>
      <c r="H23" s="23">
        <f>UMYr1!H23+UMYr2!H23+UMYr3!H23+UMYr4!H23+UMYr5!H23</f>
        <v>0</v>
      </c>
      <c r="I23" s="23">
        <f>UMYr1!I23+UMYr2!I23+UMYr3!I23+UMYr4!I23+UMYr5!I23</f>
        <v>0</v>
      </c>
      <c r="J23" s="31">
        <f>UMYr1!J23+UMYr2!J23+UMYr3!J23+UMYr4!J23+UMYr5!J23</f>
        <v>0</v>
      </c>
      <c r="K23" s="32">
        <f>UMYr1!K23+UMYr2!K23+UMYr3!K23+UMYr4!K23+UMYr5!K23</f>
        <v>0</v>
      </c>
      <c r="L23" s="23">
        <f>UMYr1!L23+UMYr2!L23+UMYr3!L23+UMYr4!L23+UMYr5!L23</f>
        <v>0</v>
      </c>
      <c r="M23" s="23">
        <f>UMYr1!M23+UMYr2!M23+UMYr3!M23+UMYr4!M23+UMYr5!M23</f>
        <v>0</v>
      </c>
      <c r="N23" s="173">
        <f>UMYr1!N23+UMYr2!N23+UMYr3!N23+UMYr4!N23+UMYr5!N23</f>
        <v>0</v>
      </c>
    </row>
    <row r="24" spans="1:14" ht="12.95" customHeight="1">
      <c r="A24" s="317">
        <f>IF(UMYr1!A24 = "","",UMYr1!A24)</f>
        <v>54800</v>
      </c>
      <c r="B24" s="679" t="str">
        <f>IF(UMYr1!B24 = "","",UMYr1!B24)</f>
        <v/>
      </c>
      <c r="C24" s="37" t="s">
        <v>496</v>
      </c>
      <c r="D24" s="25">
        <f>Sponsor!I24</f>
        <v>0</v>
      </c>
      <c r="E24" s="23">
        <f>UMYr1!E24+UMYr2!E24+UMYr3!E24+UMYr4!E24+UMYr5!E24</f>
        <v>0</v>
      </c>
      <c r="F24" s="23">
        <f>UMYr1!F24+UMYr2!F24+UMYr3!F24+UMYr4!F24+UMYr5!F24</f>
        <v>0</v>
      </c>
      <c r="G24" s="23">
        <f>UMYr1!G24+UMYr2!G24+UMYr3!G24+UMYr4!G24+UMYr5!G24</f>
        <v>0</v>
      </c>
      <c r="H24" s="23">
        <f>UMYr1!H24+UMYr2!H24+UMYr3!H24+UMYr4!H24+UMYr5!H24</f>
        <v>0</v>
      </c>
      <c r="I24" s="23">
        <f>UMYr1!I24+UMYr2!I24+UMYr3!I24+UMYr4!I24+UMYr5!I24</f>
        <v>0</v>
      </c>
      <c r="J24" s="31">
        <f>UMYr1!J24+UMYr2!J24+UMYr3!J24+UMYr4!J24+UMYr5!J24</f>
        <v>0</v>
      </c>
      <c r="K24" s="32">
        <f>UMYr1!K24+UMYr2!K24+UMYr3!K24+UMYr4!K24+UMYr5!K24</f>
        <v>0</v>
      </c>
      <c r="L24" s="23">
        <f>UMYr1!L24+UMYr2!L24+UMYr3!L24+UMYr4!L24+UMYr5!L24</f>
        <v>0</v>
      </c>
      <c r="M24" s="23">
        <f>UMYr1!M24+UMYr2!M24+UMYr3!M24+UMYr4!M24+UMYr5!M24</f>
        <v>0</v>
      </c>
      <c r="N24" s="173">
        <f>UMYr1!N24+UMYr2!N24+UMYr3!N24+UMYr4!N24+UMYr5!N24</f>
        <v>0</v>
      </c>
    </row>
    <row r="25" spans="1:14" ht="12.95" customHeight="1">
      <c r="A25" s="317">
        <f>IF(UMYr1!A25 = "","",UMYr1!A25)</f>
        <v>54810</v>
      </c>
      <c r="B25" s="679" t="str">
        <f>IF(UMYr1!B25 = "","",UMYr1!B25)</f>
        <v/>
      </c>
      <c r="C25" s="38" t="s">
        <v>691</v>
      </c>
      <c r="D25" s="25">
        <f>Sponsor!I25</f>
        <v>0</v>
      </c>
      <c r="E25" s="23">
        <f>UMYr1!E25+UMYr2!E25+UMYr3!E25+UMYr4!E25+UMYr5!E25</f>
        <v>0</v>
      </c>
      <c r="F25" s="23">
        <f>UMYr1!F25+UMYr2!F25+UMYr3!F25+UMYr4!F25+UMYr5!F25</f>
        <v>0</v>
      </c>
      <c r="G25" s="23">
        <f>UMYr1!G25+UMYr2!G25+UMYr3!G25+UMYr4!G25+UMYr5!G25</f>
        <v>0</v>
      </c>
      <c r="H25" s="23">
        <f>UMYr1!H25+UMYr2!H25+UMYr3!H25+UMYr4!H25+UMYr5!H25</f>
        <v>0</v>
      </c>
      <c r="I25" s="23">
        <f>UMYr1!I25+UMYr2!I25+UMYr3!I25+UMYr4!I25+UMYr5!I25</f>
        <v>0</v>
      </c>
      <c r="J25" s="31">
        <f>UMYr1!J25+UMYr2!J25+UMYr3!J25+UMYr4!J25+UMYr5!J25</f>
        <v>0</v>
      </c>
      <c r="K25" s="32">
        <f>UMYr1!K25+UMYr2!K25+UMYr3!K25+UMYr4!K25+UMYr5!K25</f>
        <v>0</v>
      </c>
      <c r="L25" s="23">
        <f>UMYr1!L25+UMYr2!L25+UMYr3!L25+UMYr4!L25+UMYr5!L25</f>
        <v>0</v>
      </c>
      <c r="M25" s="23">
        <f>UMYr1!M25+UMYr2!M25+UMYr3!M25+UMYr4!M25+UMYr5!M25</f>
        <v>0</v>
      </c>
      <c r="N25" s="173">
        <f>UMYr1!N25+UMYr2!N25+UMYr3!N25+UMYr4!N25+UMYr5!N25</f>
        <v>0</v>
      </c>
    </row>
    <row r="26" spans="1:14" ht="12.95" customHeight="1">
      <c r="A26" s="317" t="str">
        <f>IF(UMYr1!A26 = "","",UMYr1!A26)</f>
        <v/>
      </c>
      <c r="B26" s="817" t="s">
        <v>502</v>
      </c>
      <c r="C26" s="775"/>
      <c r="D26" s="26">
        <f>Sponsor!I26</f>
        <v>0</v>
      </c>
      <c r="E26" s="34">
        <f>UMYr1!E26+UMYr2!E26+UMYr3!E26+UMYr4!E26+UMYr5!E26</f>
        <v>0</v>
      </c>
      <c r="F26" s="34">
        <f>UMYr1!F26+UMYr2!F26+UMYr3!F26+UMYr4!F26+UMYr5!F26</f>
        <v>0</v>
      </c>
      <c r="G26" s="34">
        <f>UMYr1!G26+UMYr2!G26+UMYr3!G26+UMYr4!G26+UMYr5!G26</f>
        <v>0</v>
      </c>
      <c r="H26" s="34">
        <f>UMYr1!H26+UMYr2!H26+UMYr3!H26+UMYr4!H26+UMYr5!H26</f>
        <v>0</v>
      </c>
      <c r="I26" s="34">
        <f>UMYr1!I26+UMYr2!I26+UMYr3!I26+UMYr4!I26+UMYr5!I26</f>
        <v>0</v>
      </c>
      <c r="J26" s="31">
        <f>UMYr1!J26+UMYr2!J26+UMYr3!J26+UMYr4!J26+UMYr5!J26</f>
        <v>0</v>
      </c>
      <c r="K26" s="32">
        <f>UMYr1!K26+UMYr2!K26+UMYr3!K26+UMYr4!K26+UMYr5!K26</f>
        <v>0</v>
      </c>
      <c r="L26" s="34">
        <f>UMYr1!L26+UMYr2!L26+UMYr3!L26+UMYr4!L26+UMYr5!L26</f>
        <v>0</v>
      </c>
      <c r="M26" s="34">
        <f>UMYr1!M26+UMYr2!M26+UMYr3!M26+UMYr4!M26+UMYr5!M26</f>
        <v>0</v>
      </c>
      <c r="N26" s="174">
        <f>UMYr1!N26+UMYr2!N26+UMYr3!N26+UMYr4!N26+UMYr5!N26</f>
        <v>0</v>
      </c>
    </row>
    <row r="27" spans="1:14" ht="12.95" customHeight="1">
      <c r="A27" s="317" t="str">
        <f>IF(UMYr1!A27 = "","",UMYr1!A27)</f>
        <v/>
      </c>
      <c r="B27" s="210" t="s">
        <v>692</v>
      </c>
      <c r="C27" s="28"/>
      <c r="D27" s="28"/>
      <c r="E27" s="28"/>
      <c r="F27" s="28"/>
      <c r="G27" s="28"/>
      <c r="H27" s="28"/>
      <c r="I27" s="28"/>
      <c r="J27" s="28"/>
      <c r="K27" s="28"/>
      <c r="L27" s="28"/>
      <c r="M27" s="28"/>
      <c r="N27" s="172"/>
    </row>
    <row r="28" spans="1:14" ht="12.95" customHeight="1">
      <c r="A28" s="317" t="str">
        <f>IF(UMYr1!A28 = "","",UMYr1!A28)</f>
        <v/>
      </c>
      <c r="B28" s="679" t="str">
        <f>IF(UMYr1!B28 = "","",UMYr1!B28)</f>
        <v/>
      </c>
      <c r="C28" s="694" t="str">
        <f>IF(UMYr1!C28 = "","",UMYr1!C28)</f>
        <v/>
      </c>
      <c r="D28" s="24">
        <f>Sponsor!I28</f>
        <v>0</v>
      </c>
      <c r="E28" s="23">
        <f>UMYr1!E28+UMYr2!E28+UMYr3!E28+UMYr4!E28+UMYr5!E28</f>
        <v>0</v>
      </c>
      <c r="F28" s="23">
        <f>UMYr1!F28+UMYr2!F28+UMYr3!F28+UMYr4!F28+UMYr5!F28</f>
        <v>0</v>
      </c>
      <c r="G28" s="23">
        <f>UMYr1!G28+UMYr2!G28+UMYr3!G28+UMYr4!G28+UMYr5!G28</f>
        <v>0</v>
      </c>
      <c r="H28" s="23">
        <f>UMYr1!H28+UMYr2!H28+UMYr3!H28+UMYr4!H28+UMYr5!H28</f>
        <v>0</v>
      </c>
      <c r="I28" s="23">
        <f>UMYr1!I28+UMYr2!I28+UMYr3!I28+UMYr4!I28+UMYr5!I28</f>
        <v>0</v>
      </c>
      <c r="J28" s="40">
        <f>UMYr1!J28+UMYr2!J28+UMYr3!J28+UMYr4!J28+UMYr5!J28</f>
        <v>0</v>
      </c>
      <c r="K28" s="32">
        <f>UMYr1!K28+UMYr2!K28+UMYr3!K28+UMYr4!K28+UMYr5!K28</f>
        <v>0</v>
      </c>
      <c r="L28" s="23">
        <f>UMYr1!L28+UMYr2!L28+UMYr3!L28+UMYr4!L28+UMYr5!L28</f>
        <v>0</v>
      </c>
      <c r="M28" s="23">
        <f>UMYr1!M28+UMYr2!M28+UMYr3!M28+UMYr4!M28+UMYr5!M28</f>
        <v>0</v>
      </c>
      <c r="N28" s="175">
        <f>UMYr1!N28+UMYr2!N28+UMYr3!N28+UMYr4!N28+UMYr5!N28</f>
        <v>0</v>
      </c>
    </row>
    <row r="29" spans="1:14" ht="12.95" customHeight="1">
      <c r="A29" s="317" t="str">
        <f>IF(UMYr1!A29 = "","",UMYr1!A29)</f>
        <v/>
      </c>
      <c r="B29" s="679" t="str">
        <f>IF(UMYr1!B29 = "","",UMYr1!B29)</f>
        <v/>
      </c>
      <c r="C29" s="694" t="str">
        <f>IF(UMYr1!C29 = "","",UMYr1!C29)</f>
        <v/>
      </c>
      <c r="D29" s="25">
        <f>Sponsor!I29</f>
        <v>0</v>
      </c>
      <c r="E29" s="23">
        <f>UMYr1!E29+UMYr2!E29+UMYr3!E29+UMYr4!E29+UMYr5!E29</f>
        <v>0</v>
      </c>
      <c r="F29" s="23">
        <f>UMYr1!F29+UMYr2!F29+UMYr3!F29+UMYr4!F29+UMYr5!F29</f>
        <v>0</v>
      </c>
      <c r="G29" s="23">
        <f>UMYr1!G29+UMYr2!G29+UMYr3!G29+UMYr4!G29+UMYr5!G29</f>
        <v>0</v>
      </c>
      <c r="H29" s="23">
        <f>UMYr1!H29+UMYr2!H29+UMYr3!H29+UMYr4!H29+UMYr5!H29</f>
        <v>0</v>
      </c>
      <c r="I29" s="23">
        <f>UMYr1!I29+UMYr2!I29+UMYr3!I29+UMYr4!I29+UMYr5!I29</f>
        <v>0</v>
      </c>
      <c r="J29" s="23">
        <f>UMYr1!J29+UMYr2!J29+UMYr3!J29+UMYr4!J29+UMYr5!J29</f>
        <v>0</v>
      </c>
      <c r="K29" s="32">
        <f>UMYr1!K29+UMYr2!K29+UMYr3!K29+UMYr4!K29+UMYr5!K29</f>
        <v>0</v>
      </c>
      <c r="L29" s="33">
        <f>UMYr1!L29+UMYr2!L29+UMYr3!L29+UMYr4!L29+UMYr5!L29</f>
        <v>0</v>
      </c>
      <c r="M29" s="23">
        <f>UMYr1!M29+UMYr2!M29+UMYr3!M29+UMYr4!M29+UMYr5!M29</f>
        <v>0</v>
      </c>
      <c r="N29" s="173">
        <f>UMYr1!N29+UMYr2!N29+UMYr3!N29+UMYr4!N29+UMYr5!N29</f>
        <v>0</v>
      </c>
    </row>
    <row r="30" spans="1:14" ht="12.95" customHeight="1">
      <c r="A30" s="317" t="str">
        <f>IF(UMYr1!A30 = "","",UMYr1!A30)</f>
        <v>Below</v>
      </c>
      <c r="B30" s="1025" t="s">
        <v>693</v>
      </c>
      <c r="C30" s="763"/>
      <c r="D30" s="25">
        <f>Sponsor!I30</f>
        <v>0</v>
      </c>
      <c r="E30" s="33">
        <f>UMYr1!E30+UMYr2!E30+UMYr3!E30+UMYr4!E30+UMYr5!E30</f>
        <v>0</v>
      </c>
      <c r="F30" s="23">
        <f>UMYr1!F30+UMYr2!F30+UMYr3!F30+UMYr4!F30+UMYr5!F30</f>
        <v>0</v>
      </c>
      <c r="G30" s="23">
        <f>UMYr1!G30+UMYr2!G30+UMYr3!G30+UMYr4!G30+UMYr5!G30</f>
        <v>0</v>
      </c>
      <c r="H30" s="23">
        <f>UMYr1!H30+UMYr2!H30+UMYr3!H30+UMYr4!H30+UMYr5!H30</f>
        <v>0</v>
      </c>
      <c r="I30" s="23">
        <f>UMYr1!I30+UMYr2!I30+UMYr3!I30+UMYr4!I30+UMYr5!I30</f>
        <v>0</v>
      </c>
      <c r="J30" s="11">
        <f>UMYr1!J30+UMYr2!J30+UMYr3!J30+UMYr4!J30+UMYr5!J30</f>
        <v>0</v>
      </c>
      <c r="K30" s="32">
        <f>UMYr1!K30+UMYr2!K30+UMYr3!K30+UMYr4!K30+UMYr5!K30</f>
        <v>0</v>
      </c>
      <c r="L30" s="23">
        <f>UMYr1!L30+UMYr2!L30+UMYr3!L30+UMYr4!L30+UMYr5!L30</f>
        <v>0</v>
      </c>
      <c r="M30" s="23">
        <f>UMYr1!M30+UMYr2!M30+UMYr3!M30+UMYr4!M30+UMYr5!M30</f>
        <v>0</v>
      </c>
      <c r="N30" s="173">
        <f>UMYr1!N30+UMYr2!N30+UMYr3!N30+UMYr4!N30+UMYr5!N30</f>
        <v>0</v>
      </c>
    </row>
    <row r="31" spans="1:14" ht="12.95" customHeight="1">
      <c r="A31" s="317" t="str">
        <f>IF(UMYr1!A31 = "","",UMYr1!A31)</f>
        <v/>
      </c>
      <c r="B31" s="805" t="s">
        <v>514</v>
      </c>
      <c r="C31" s="753"/>
      <c r="D31" s="26">
        <f>Sponsor!I31</f>
        <v>0</v>
      </c>
      <c r="E31" s="34">
        <f>UMYr1!E31+UMYr2!E31+UMYr3!E31+UMYr4!E31+UMYr5!E31</f>
        <v>0</v>
      </c>
      <c r="F31" s="34">
        <f>UMYr1!F31+UMYr2!F31+UMYr3!F31+UMYr4!F31+UMYr5!F31</f>
        <v>0</v>
      </c>
      <c r="G31" s="34">
        <f>UMYr1!G31+UMYr2!G31+UMYr3!G31+UMYr4!G31+UMYr5!G31</f>
        <v>0</v>
      </c>
      <c r="H31" s="34">
        <f>UMYr1!H31+UMYr2!H31+UMYr3!H31+UMYr4!H31+UMYr5!H31</f>
        <v>0</v>
      </c>
      <c r="I31" s="34">
        <f>UMYr1!I31+UMYr2!I31+UMYr3!I31+UMYr4!I31+UMYr5!I31</f>
        <v>0</v>
      </c>
      <c r="J31" s="31">
        <f>UMYr1!J31+UMYr2!J31+UMYr3!J31+UMYr4!J31+UMYr5!J31</f>
        <v>0</v>
      </c>
      <c r="K31" s="32">
        <f>UMYr1!K31+UMYr2!K31+UMYr3!K31+UMYr4!K31+UMYr5!K31</f>
        <v>0</v>
      </c>
      <c r="L31" s="34">
        <f>UMYr1!L31+UMYr2!L31+UMYr3!L31+UMYr4!L31+UMYr5!L31</f>
        <v>0</v>
      </c>
      <c r="M31" s="34">
        <f>UMYr1!M31+UMYr2!M31+UMYr3!M31+UMYr4!M31+UMYr5!M31</f>
        <v>0</v>
      </c>
      <c r="N31" s="174">
        <f>UMYr1!N31+UMYr2!N31+UMYr3!N31+UMYr4!N31+UMYr5!N31</f>
        <v>0</v>
      </c>
    </row>
    <row r="32" spans="1:14" ht="12.95" customHeight="1">
      <c r="A32" s="317" t="str">
        <f>IF(UMYr1!A32 = "","",UMYr1!A32)</f>
        <v/>
      </c>
      <c r="B32" s="14" t="s">
        <v>517</v>
      </c>
      <c r="C32" s="28"/>
      <c r="D32" s="28"/>
      <c r="E32" s="28"/>
      <c r="F32" s="28"/>
      <c r="G32" s="28"/>
      <c r="H32" s="28"/>
      <c r="I32" s="28"/>
      <c r="J32" s="28"/>
      <c r="K32" s="28"/>
      <c r="L32" s="28"/>
      <c r="M32" s="28"/>
      <c r="N32" s="172"/>
    </row>
    <row r="33" spans="1:14" ht="12.95" customHeight="1">
      <c r="A33" s="317">
        <f>IF(UMYr1!A33 = "","",UMYr1!A33)</f>
        <v>61400</v>
      </c>
      <c r="B33" s="679" t="str">
        <f>IF(UMYr1!B33 = "","",UMYr1!B33)</f>
        <v/>
      </c>
      <c r="C33" s="39" t="s">
        <v>518</v>
      </c>
      <c r="D33" s="30">
        <f>Sponsor!I33</f>
        <v>0</v>
      </c>
      <c r="E33" s="31">
        <f>UMYr1!E33+UMYr2!E33+UMYr3!E33+UMYr4!E33+UMYr5!E33</f>
        <v>0</v>
      </c>
      <c r="F33" s="31">
        <f>UMYr1!F33+UMYr2!F33+UMYr3!F33+UMYr4!F33+UMYr5!F33</f>
        <v>0</v>
      </c>
      <c r="G33" s="31">
        <f>UMYr1!G33+UMYr2!G33+UMYr3!G33+UMYr4!G33+UMYr5!G33</f>
        <v>0</v>
      </c>
      <c r="H33" s="31">
        <f>UMYr1!H33+UMYr2!H33+UMYr3!H33+UMYr4!H33+UMYr5!H33</f>
        <v>0</v>
      </c>
      <c r="I33" s="31">
        <f>UMYr1!I33+UMYr2!I33+UMYr3!I33+UMYr4!I33+UMYr5!I33</f>
        <v>0</v>
      </c>
      <c r="J33" s="31">
        <f>UMYr1!J33+UMYr2!J33+UMYr3!J33+UMYr4!J33+UMYr5!J33</f>
        <v>0</v>
      </c>
      <c r="K33" s="32">
        <f>UMYr1!K33+UMYr2!K33+UMYr3!K33+UMYr4!K33+UMYr5!K33</f>
        <v>0</v>
      </c>
      <c r="L33" s="31">
        <f>UMYr1!L33+UMYr2!L33+UMYr3!L33+UMYr4!L33+UMYr5!L33</f>
        <v>0</v>
      </c>
      <c r="M33" s="31">
        <f>UMYr1!M33+UMYr2!M33+UMYr3!M33+UMYr4!M33+UMYr5!M33</f>
        <v>0</v>
      </c>
      <c r="N33" s="77">
        <f>UMYr1!N33+UMYr2!N33+UMYr3!N33+UMYr4!N33+UMYr5!N33</f>
        <v>0</v>
      </c>
    </row>
    <row r="34" spans="1:14" ht="12.95" customHeight="1">
      <c r="A34" s="317">
        <f>IF(UMYr1!A34 = "","",UMYr1!A34)</f>
        <v>61500</v>
      </c>
      <c r="B34" s="679" t="str">
        <f>IF(UMYr1!B34 = "","",UMYr1!B34)</f>
        <v/>
      </c>
      <c r="C34" s="27" t="s">
        <v>519</v>
      </c>
      <c r="D34" s="32">
        <f>Sponsor!I34</f>
        <v>0</v>
      </c>
      <c r="E34" s="31">
        <f>UMYr1!E34+UMYr2!E34+UMYr3!E34+UMYr4!E34+UMYr5!E34</f>
        <v>0</v>
      </c>
      <c r="F34" s="31">
        <f>UMYr1!F34+UMYr2!F34+UMYr3!F34+UMYr4!F34+UMYr5!F34</f>
        <v>0</v>
      </c>
      <c r="G34" s="31">
        <f>UMYr1!G34+UMYr2!G34+UMYr3!G34+UMYr4!G34+UMYr5!G34</f>
        <v>0</v>
      </c>
      <c r="H34" s="31">
        <f>UMYr1!H34+UMYr2!H34+UMYr3!H34+UMYr4!H34+UMYr5!H34</f>
        <v>0</v>
      </c>
      <c r="I34" s="31">
        <f>UMYr1!I34+UMYr2!I34+UMYr3!I34+UMYr4!I34+UMYr5!I34</f>
        <v>0</v>
      </c>
      <c r="J34" s="31">
        <f>UMYr1!J34+UMYr2!J34+UMYr3!J34+UMYr4!J34+UMYr5!J34</f>
        <v>0</v>
      </c>
      <c r="K34" s="32">
        <f>UMYr1!K34+UMYr2!K34+UMYr3!K34+UMYr4!K34+UMYr5!K34</f>
        <v>0</v>
      </c>
      <c r="L34" s="31">
        <f>UMYr1!L34+UMYr2!L34+UMYr3!L34+UMYr4!L34+UMYr5!L34</f>
        <v>0</v>
      </c>
      <c r="M34" s="31">
        <f>UMYr1!M34+UMYr2!M34+UMYr3!M34+UMYr4!M34+UMYr5!M34</f>
        <v>0</v>
      </c>
      <c r="N34" s="78">
        <f>UMYr1!N34+UMYr2!N34+UMYr3!N34+UMYr4!N34+UMYr5!N34</f>
        <v>0</v>
      </c>
    </row>
    <row r="35" spans="1:14" ht="12.95" customHeight="1">
      <c r="A35" s="317">
        <f>IF(UMYr1!A35 = "","",UMYr1!A35)</f>
        <v>61600</v>
      </c>
      <c r="B35" s="679" t="str">
        <f>IF(UMYr1!B35 = "","",UMYr1!B35)</f>
        <v/>
      </c>
      <c r="C35" s="27" t="s">
        <v>520</v>
      </c>
      <c r="D35" s="32">
        <f>Sponsor!I35</f>
        <v>0</v>
      </c>
      <c r="E35" s="31">
        <f>UMYr1!E35+UMYr2!E35+UMYr3!E35+UMYr4!E35+UMYr5!E35</f>
        <v>0</v>
      </c>
      <c r="F35" s="31">
        <f>UMYr1!F35+UMYr2!F35+UMYr3!F35+UMYr4!F35+UMYr5!F35</f>
        <v>0</v>
      </c>
      <c r="G35" s="31">
        <f>UMYr1!G35+UMYr2!G35+UMYr3!G35+UMYr4!G35+UMYr5!G35</f>
        <v>0</v>
      </c>
      <c r="H35" s="31">
        <f>UMYr1!H35+UMYr2!H35+UMYr3!H35+UMYr4!H35+UMYr5!H35</f>
        <v>0</v>
      </c>
      <c r="I35" s="31">
        <f>UMYr1!I35+UMYr2!I35+UMYr3!I35+UMYr4!I35+UMYr5!I35</f>
        <v>0</v>
      </c>
      <c r="J35" s="31">
        <f>UMYr1!J35+UMYr2!J35+UMYr3!J35+UMYr4!J35+UMYr5!J35</f>
        <v>0</v>
      </c>
      <c r="K35" s="32">
        <f>UMYr1!K35+UMYr2!K35+UMYr3!K35+UMYr4!K35+UMYr5!K35</f>
        <v>0</v>
      </c>
      <c r="L35" s="31">
        <f>UMYr1!L35+UMYr2!L35+UMYr3!L35+UMYr4!L35+UMYr5!L35</f>
        <v>0</v>
      </c>
      <c r="M35" s="31">
        <f>UMYr1!M35+UMYr2!M35+UMYr3!M35+UMYr4!M35+UMYr5!M35</f>
        <v>0</v>
      </c>
      <c r="N35" s="78">
        <f>UMYr1!N35+UMYr2!N35+UMYr3!N35+UMYr4!N35+UMYr5!N35</f>
        <v>0</v>
      </c>
    </row>
    <row r="36" spans="1:14" ht="12.95" customHeight="1">
      <c r="A36" s="317" t="str">
        <f>IF(UMYr1!A36 = "","",UMYr1!A36)</f>
        <v/>
      </c>
      <c r="B36" s="805" t="s">
        <v>521</v>
      </c>
      <c r="C36" s="753"/>
      <c r="D36" s="41">
        <f>Sponsor!I36</f>
        <v>0</v>
      </c>
      <c r="E36" s="42">
        <f>UMYr1!E36+UMYr2!E36+UMYr3!E36+UMYr4!E36+UMYr5!E36</f>
        <v>0</v>
      </c>
      <c r="F36" s="42">
        <f>UMYr1!F36+UMYr2!F36+UMYr3!F36+UMYr4!F36+UMYr5!F36</f>
        <v>0</v>
      </c>
      <c r="G36" s="42">
        <f>UMYr1!G36+UMYr2!G36+UMYr3!G36+UMYr4!G36+UMYr5!G36</f>
        <v>0</v>
      </c>
      <c r="H36" s="42">
        <f>UMYr1!H36+UMYr2!H36+UMYr3!H36+UMYr4!H36+UMYr5!H36</f>
        <v>0</v>
      </c>
      <c r="I36" s="42">
        <f>UMYr1!I36+UMYr2!I36+UMYr3!I36+UMYr4!I36+UMYr5!I36</f>
        <v>0</v>
      </c>
      <c r="J36" s="31">
        <f>UMYr1!J36+UMYr2!J36+UMYr3!J36+UMYr4!J36+UMYr5!J36</f>
        <v>0</v>
      </c>
      <c r="K36" s="32">
        <f>UMYr1!K36+UMYr2!K36+UMYr3!K36+UMYr4!K36+UMYr5!K36</f>
        <v>0</v>
      </c>
      <c r="L36" s="42">
        <f>UMYr1!L36+UMYr2!L36+UMYr3!L36+UMYr4!L36+UMYr5!L36</f>
        <v>0</v>
      </c>
      <c r="M36" s="42">
        <f>UMYr1!M36+UMYr2!M36+UMYr3!M36+UMYr4!M36+UMYr5!M36</f>
        <v>0</v>
      </c>
      <c r="N36" s="94">
        <f>UMYr1!N36+UMYr2!N36+UMYr3!N36+UMYr4!N36+UMYr5!N36</f>
        <v>0</v>
      </c>
    </row>
    <row r="37" spans="1:14" ht="12.95" customHeight="1">
      <c r="A37" s="317" t="str">
        <f>IF(UMYr1!A37 = "","",UMYr1!A37)</f>
        <v/>
      </c>
      <c r="B37" s="14" t="s">
        <v>522</v>
      </c>
      <c r="C37" s="28"/>
      <c r="D37" s="28"/>
      <c r="E37" s="28"/>
      <c r="F37" s="28"/>
      <c r="G37" s="28"/>
      <c r="H37" s="28"/>
      <c r="I37" s="28"/>
      <c r="J37" s="28"/>
      <c r="K37" s="28"/>
      <c r="L37" s="28"/>
      <c r="M37" s="28"/>
      <c r="N37" s="172"/>
    </row>
    <row r="38" spans="1:14" ht="12.95" customHeight="1">
      <c r="A38" s="317">
        <f>IF(UMYr1!A38 = "","",UMYr1!A38)</f>
        <v>60206</v>
      </c>
      <c r="B38" s="679" t="str">
        <f>IF(UMYr1!B38 = "","",UMYr1!B38)</f>
        <v/>
      </c>
      <c r="C38" s="39" t="s">
        <v>523</v>
      </c>
      <c r="D38" s="30">
        <f>Sponsor!I38</f>
        <v>0</v>
      </c>
      <c r="E38" s="31">
        <f>UMYr1!E38+UMYr2!E38+UMYr3!E38+UMYr4!E38+UMYr5!E38</f>
        <v>0</v>
      </c>
      <c r="F38" s="31">
        <f>UMYr1!F38+UMYr2!F38+UMYr3!F38+UMYr4!F38+UMYr5!F38</f>
        <v>0</v>
      </c>
      <c r="G38" s="31">
        <f>UMYr1!G38+UMYr2!G38+UMYr3!G38+UMYr4!G38+UMYr5!G38</f>
        <v>0</v>
      </c>
      <c r="H38" s="31">
        <f>UMYr1!H38+UMYr2!H38+UMYr3!H38+UMYr4!H38+UMYr5!H38</f>
        <v>0</v>
      </c>
      <c r="I38" s="31">
        <f>UMYr1!I38+UMYr2!I38+UMYr3!I38+UMYr4!I38+UMYr5!I38</f>
        <v>0</v>
      </c>
      <c r="J38" s="31">
        <f>UMYr1!J38+UMYr2!J38+UMYr3!J38+UMYr4!J38+UMYr5!J38</f>
        <v>0</v>
      </c>
      <c r="K38" s="32">
        <f>UMYr1!K38+UMYr2!K38+UMYr3!K38+UMYr4!K38+UMYr5!K38</f>
        <v>0</v>
      </c>
      <c r="L38" s="31">
        <f>UMYr1!L38+UMYr2!L38+UMYr3!L38+UMYr4!L38+UMYr5!L38</f>
        <v>0</v>
      </c>
      <c r="M38" s="31">
        <f>UMYr1!M38+UMYr2!M38+UMYr3!M38+UMYr4!M38+UMYr5!M38</f>
        <v>0</v>
      </c>
      <c r="N38" s="77">
        <f>UMYr1!N38+UMYr2!N38+UMYr3!N38+UMYr4!N38+UMYr5!N38</f>
        <v>0</v>
      </c>
    </row>
    <row r="39" spans="1:14" ht="12.95" customHeight="1">
      <c r="A39" s="317">
        <f>IF(UMYr1!A39 = "","",UMYr1!A39)</f>
        <v>60204</v>
      </c>
      <c r="B39" s="679" t="str">
        <f>IF(UMYr1!B39 = "","",UMYr1!B39)</f>
        <v/>
      </c>
      <c r="C39" s="27" t="s">
        <v>694</v>
      </c>
      <c r="D39" s="32">
        <f>Sponsor!I39</f>
        <v>0</v>
      </c>
      <c r="E39" s="31">
        <f>UMYr1!E39+UMYr2!E39+UMYr3!E39+UMYr4!E39+UMYr5!E39</f>
        <v>0</v>
      </c>
      <c r="F39" s="31">
        <f>UMYr1!F39+UMYr2!F39+UMYr3!F39+UMYr4!F39+UMYr5!F39</f>
        <v>0</v>
      </c>
      <c r="G39" s="31">
        <f>UMYr1!G39+UMYr2!G39+UMYr3!G39+UMYr4!G39+UMYr5!G39</f>
        <v>0</v>
      </c>
      <c r="H39" s="31">
        <f>UMYr1!H39+UMYr2!H39+UMYr3!H39+UMYr4!H39+UMYr5!H39</f>
        <v>0</v>
      </c>
      <c r="I39" s="31">
        <f>UMYr1!I39+UMYr2!I39+UMYr3!I39+UMYr4!I39+UMYr5!I39</f>
        <v>0</v>
      </c>
      <c r="J39" s="31">
        <f>UMYr1!J39+UMYr2!J39+UMYr3!J39+UMYr4!J39+UMYr5!J39</f>
        <v>0</v>
      </c>
      <c r="K39" s="32">
        <f>UMYr1!K39+UMYr2!K39+UMYr3!K39+UMYr4!K39+UMYr5!K39</f>
        <v>0</v>
      </c>
      <c r="L39" s="31">
        <f>UMYr1!L39+UMYr2!L39+UMYr3!L39+UMYr4!L39+UMYr5!L39</f>
        <v>0</v>
      </c>
      <c r="M39" s="31">
        <f>UMYr1!M39+UMYr2!M39+UMYr3!M39+UMYr4!M39+UMYr5!M39</f>
        <v>0</v>
      </c>
      <c r="N39" s="78">
        <f>UMYr1!N39+UMYr2!N39+UMYr3!N39+UMYr4!N39+UMYr5!N39</f>
        <v>0</v>
      </c>
    </row>
    <row r="40" spans="1:14" ht="12.95" customHeight="1">
      <c r="A40" s="317">
        <f>IF(UMYr1!A40 = "","",UMYr1!A40)</f>
        <v>60201</v>
      </c>
      <c r="B40" s="679" t="str">
        <f>IF(UMYr1!B40 = "","",UMYr1!B40)</f>
        <v/>
      </c>
      <c r="C40" s="27" t="s">
        <v>526</v>
      </c>
      <c r="D40" s="32">
        <f>Sponsor!I40</f>
        <v>0</v>
      </c>
      <c r="E40" s="31">
        <f>UMYr1!E40+UMYr2!E40+UMYr3!E40+UMYr4!E40+UMYr5!E40</f>
        <v>0</v>
      </c>
      <c r="F40" s="31">
        <f>UMYr1!F40+UMYr2!F40+UMYr3!F40+UMYr4!F40+UMYr5!F40</f>
        <v>0</v>
      </c>
      <c r="G40" s="31">
        <f>UMYr1!G40+UMYr2!G40+UMYr3!G40+UMYr4!G40+UMYr5!G40</f>
        <v>0</v>
      </c>
      <c r="H40" s="31">
        <f>UMYr1!H40+UMYr2!H40+UMYr3!H40+UMYr4!H40+UMYr5!H40</f>
        <v>0</v>
      </c>
      <c r="I40" s="31">
        <f>UMYr1!I40+UMYr2!I40+UMYr3!I40+UMYr4!I40+UMYr5!I40</f>
        <v>0</v>
      </c>
      <c r="J40" s="31">
        <f>UMYr1!J40+UMYr2!J40+UMYr3!J40+UMYr4!J40+UMYr5!J40</f>
        <v>0</v>
      </c>
      <c r="K40" s="32">
        <f>UMYr1!K40+UMYr2!K40+UMYr3!K40+UMYr4!K40+UMYr5!K40</f>
        <v>0</v>
      </c>
      <c r="L40" s="31">
        <f>UMYr1!L40+UMYr2!L40+UMYr3!L40+UMYr4!L40+UMYr5!L40</f>
        <v>0</v>
      </c>
      <c r="M40" s="31">
        <f>UMYr1!M40+UMYr2!M40+UMYr3!M40+UMYr4!M40+UMYr5!M40</f>
        <v>0</v>
      </c>
      <c r="N40" s="78">
        <f>UMYr1!N40+UMYr2!N40+UMYr3!N40+UMYr4!N40+UMYr5!N40</f>
        <v>0</v>
      </c>
    </row>
    <row r="41" spans="1:14" ht="12.95" customHeight="1">
      <c r="A41" s="317">
        <f>IF(UMYr1!A41 = "","",UMYr1!A41)</f>
        <v>60200</v>
      </c>
      <c r="B41" s="679" t="str">
        <f>IF(UMYr1!B41 = "","",UMYr1!B41)</f>
        <v/>
      </c>
      <c r="C41" s="27" t="s">
        <v>13</v>
      </c>
      <c r="D41" s="32">
        <f>Sponsor!I41</f>
        <v>0</v>
      </c>
      <c r="E41" s="31">
        <f>UMYr1!E41+UMYr2!E41+UMYr3!E41+UMYr4!E41+UMYr5!E41</f>
        <v>0</v>
      </c>
      <c r="F41" s="31">
        <f>UMYr1!F41+UMYr2!F41+UMYr3!F41+UMYr4!F41+UMYr5!F41</f>
        <v>0</v>
      </c>
      <c r="G41" s="31">
        <f>UMYr1!G41+UMYr2!G41+UMYr3!G41+UMYr4!G41+UMYr5!G41</f>
        <v>0</v>
      </c>
      <c r="H41" s="31">
        <f>UMYr1!H41+UMYr2!H41+UMYr3!H41+UMYr4!H41+UMYr5!H41</f>
        <v>0</v>
      </c>
      <c r="I41" s="31">
        <f>UMYr1!I41+UMYr2!I41+UMYr3!I41+UMYr4!I41+UMYr5!I41</f>
        <v>0</v>
      </c>
      <c r="J41" s="31">
        <f>UMYr1!J41+UMYr2!J41+UMYr3!J41+UMYr4!J41+UMYr5!J41</f>
        <v>0</v>
      </c>
      <c r="K41" s="32">
        <f>UMYr1!K41+UMYr2!K41+UMYr3!K41+UMYr4!K41+UMYr5!K41</f>
        <v>0</v>
      </c>
      <c r="L41" s="31">
        <f>UMYr1!L41+UMYr2!L41+UMYr3!L41+UMYr4!L41+UMYr5!L41</f>
        <v>0</v>
      </c>
      <c r="M41" s="31">
        <f>UMYr1!M41+UMYr2!M41+UMYr3!M41+UMYr4!M41+UMYr5!M41</f>
        <v>0</v>
      </c>
      <c r="N41" s="78">
        <f>UMYr1!N41+UMYr2!N41+UMYr3!N41+UMYr4!N41+UMYr5!N41</f>
        <v>0</v>
      </c>
    </row>
    <row r="42" spans="1:14" ht="12.95" customHeight="1">
      <c r="A42" s="317" t="str">
        <f>IF(UMYr1!A42 = "","",UMYr1!A42)</f>
        <v/>
      </c>
      <c r="B42" s="805" t="s">
        <v>527</v>
      </c>
      <c r="C42" s="753"/>
      <c r="D42" s="26">
        <f>Sponsor!I42</f>
        <v>0</v>
      </c>
      <c r="E42" s="34">
        <f>UMYr1!E42+UMYr2!E42+UMYr3!E42+UMYr4!E42+UMYr5!E42</f>
        <v>0</v>
      </c>
      <c r="F42" s="34">
        <f>UMYr1!F42+UMYr2!F42+UMYr3!F42+UMYr4!F42+UMYr5!F42</f>
        <v>0</v>
      </c>
      <c r="G42" s="34">
        <f>UMYr1!G42+UMYr2!G42+UMYr3!G42+UMYr4!G42+UMYr5!G42</f>
        <v>0</v>
      </c>
      <c r="H42" s="34">
        <f>UMYr1!H42+UMYr2!H42+UMYr3!H42+UMYr4!H42+UMYr5!H42</f>
        <v>0</v>
      </c>
      <c r="I42" s="34">
        <f>UMYr1!I42+UMYr2!I42+UMYr3!I42+UMYr4!I42+UMYr5!I42</f>
        <v>0</v>
      </c>
      <c r="J42" s="31">
        <f>UMYr1!J42+UMYr2!J42+UMYr3!J42+UMYr4!J42+UMYr5!J42</f>
        <v>0</v>
      </c>
      <c r="K42" s="32">
        <f>UMYr1!K42+UMYr2!K42+UMYr3!K42+UMYr4!K42+UMYr5!K42</f>
        <v>0</v>
      </c>
      <c r="L42" s="34">
        <f>UMYr1!L42+UMYr2!L42+UMYr3!L42+UMYr4!L42+UMYr5!L42</f>
        <v>0</v>
      </c>
      <c r="M42" s="34">
        <f>UMYr1!M42+UMYr2!M42+UMYr3!M42+UMYr4!M42+UMYr5!M42</f>
        <v>0</v>
      </c>
      <c r="N42" s="174">
        <f>UMYr1!N42+UMYr2!N42+UMYr3!N42+UMYr4!N42+UMYr5!N42</f>
        <v>0</v>
      </c>
    </row>
    <row r="43" spans="1:14" ht="12.95" customHeight="1">
      <c r="A43" s="317" t="str">
        <f>IF(UMYr1!A43 = "","",UMYr1!A43)</f>
        <v/>
      </c>
      <c r="B43" s="14" t="s">
        <v>695</v>
      </c>
      <c r="C43" s="28"/>
      <c r="D43" s="28"/>
      <c r="E43" s="28"/>
      <c r="F43" s="28"/>
      <c r="G43" s="28"/>
      <c r="H43" s="28"/>
      <c r="I43" s="28"/>
      <c r="J43" s="28"/>
      <c r="K43" s="28"/>
      <c r="L43" s="28"/>
      <c r="M43" s="28"/>
      <c r="N43" s="172"/>
    </row>
    <row r="44" spans="1:14" ht="12.95" customHeight="1">
      <c r="A44" s="317">
        <f>IF(UMYr1!A44 = "","",UMYr1!A44)</f>
        <v>61000</v>
      </c>
      <c r="B44" s="679" t="str">
        <f>IF(UMYr1!B44 = "","",UMYr1!B44)</f>
        <v/>
      </c>
      <c r="C44" s="39" t="str">
        <f>UMYr1!C44</f>
        <v>Materials &amp; Supplies</v>
      </c>
      <c r="D44" s="30">
        <f>Sponsor!I44</f>
        <v>0</v>
      </c>
      <c r="E44" s="31">
        <f>UMYr1!E44+UMYr2!E44+UMYr3!E44+UMYr4!E44+UMYr5!E44</f>
        <v>0</v>
      </c>
      <c r="F44" s="31">
        <f>UMYr1!F44+UMYr2!F44+UMYr3!F44+UMYr4!F44+UMYr5!F44</f>
        <v>0</v>
      </c>
      <c r="G44" s="31">
        <f>UMYr1!G44+UMYr2!G44+UMYr3!G44+UMYr4!G44+UMYr5!G44</f>
        <v>0</v>
      </c>
      <c r="H44" s="31">
        <f>UMYr1!H44+UMYr2!H44+UMYr3!H44+UMYr4!H44+UMYr5!H44</f>
        <v>0</v>
      </c>
      <c r="I44" s="31">
        <f>UMYr1!I44+UMYr2!I44+UMYr3!I44+UMYr4!I44+UMYr5!I44</f>
        <v>0</v>
      </c>
      <c r="J44" s="31">
        <f>UMYr1!J44+UMYr2!J44+UMYr3!J44+UMYr4!J44+UMYr5!J44</f>
        <v>0</v>
      </c>
      <c r="K44" s="32">
        <f>UMYr1!K44+UMYr2!K44+UMYr3!K44+UMYr4!K44+UMYr5!K44</f>
        <v>0</v>
      </c>
      <c r="L44" s="31">
        <f>UMYr1!L44+UMYr2!L44+UMYr3!L44+UMYr4!L44+UMYr5!L44</f>
        <v>0</v>
      </c>
      <c r="M44" s="31">
        <f>UMYr1!M44+UMYr2!M44+UMYr3!M44+UMYr4!M44+UMYr5!M44</f>
        <v>0</v>
      </c>
      <c r="N44" s="77">
        <f>UMYr1!N44+UMYr2!N44+UMYr3!N44+UMYr4!N44+UMYr5!N44</f>
        <v>0</v>
      </c>
    </row>
    <row r="45" spans="1:14" ht="12.95" customHeight="1">
      <c r="A45" s="317">
        <f>IF(UMYr1!A45 = "","",UMYr1!A45)</f>
        <v>60002</v>
      </c>
      <c r="B45" s="679" t="str">
        <f>IF(UMYr1!B45 = "","",UMYr1!B45)</f>
        <v/>
      </c>
      <c r="C45" s="27" t="str">
        <f>UMYr1!C45</f>
        <v>Consultant Services</v>
      </c>
      <c r="D45" s="32">
        <f>Sponsor!I45</f>
        <v>0</v>
      </c>
      <c r="E45" s="31">
        <f>UMYr1!E45+UMYr2!E45+UMYr3!E45+UMYr4!E45+UMYr5!E45</f>
        <v>0</v>
      </c>
      <c r="F45" s="31">
        <f>UMYr1!F45+UMYr2!F45+UMYr3!F45+UMYr4!F45+UMYr5!F45</f>
        <v>0</v>
      </c>
      <c r="G45" s="31">
        <f>UMYr1!G45+UMYr2!G45+UMYr3!G45+UMYr4!G45+UMYr5!G45</f>
        <v>0</v>
      </c>
      <c r="H45" s="31">
        <f>UMYr1!H45+UMYr2!H45+UMYr3!H45+UMYr4!H45+UMYr5!H45</f>
        <v>0</v>
      </c>
      <c r="I45" s="31">
        <f>UMYr1!I45+UMYr2!I45+UMYr3!I45+UMYr4!I45+UMYr5!I45</f>
        <v>0</v>
      </c>
      <c r="J45" s="31">
        <f>UMYr1!J45+UMYr2!J45+UMYr3!J45+UMYr4!J45+UMYr5!J45</f>
        <v>0</v>
      </c>
      <c r="K45" s="32">
        <f>UMYr1!K45+UMYr2!K45+UMYr3!K45+UMYr4!K45+UMYr5!K45</f>
        <v>0</v>
      </c>
      <c r="L45" s="31">
        <f>UMYr1!L45+UMYr2!L45+UMYr3!L45+UMYr4!L45+UMYr5!L45</f>
        <v>0</v>
      </c>
      <c r="M45" s="31">
        <f>UMYr1!M45+UMYr2!M45+UMYr3!M45+UMYr4!M45+UMYr5!M45</f>
        <v>0</v>
      </c>
      <c r="N45" s="78">
        <f>UMYr1!N45+UMYr2!N45+UMYr3!N45+UMYr4!N45+UMYr5!N45</f>
        <v>0</v>
      </c>
    </row>
    <row r="46" spans="1:14" ht="12.95" customHeight="1">
      <c r="A46" s="317">
        <f>IF(UMYr1!A46 = "","",UMYr1!A46)</f>
        <v>60100</v>
      </c>
      <c r="B46" s="679" t="str">
        <f>IF(UMYr1!B46 = "","",UMYr1!B46)</f>
        <v/>
      </c>
      <c r="C46" s="27" t="str">
        <f>UMYr1!C46</f>
        <v>Professional Services</v>
      </c>
      <c r="D46" s="32">
        <f>Sponsor!I46</f>
        <v>0</v>
      </c>
      <c r="E46" s="31">
        <f>UMYr1!E46+UMYr2!E46+UMYr3!E46+UMYr4!E46+UMYr5!E46</f>
        <v>0</v>
      </c>
      <c r="F46" s="31">
        <f>UMYr1!F46+UMYr2!F46+UMYr3!F46+UMYr4!F46+UMYr5!F46</f>
        <v>0</v>
      </c>
      <c r="G46" s="31">
        <f>UMYr1!G46+UMYr2!G46+UMYr3!G46+UMYr4!G46+UMYr5!G46</f>
        <v>0</v>
      </c>
      <c r="H46" s="31">
        <f>UMYr1!H46+UMYr2!H46+UMYr3!H46+UMYr4!H46+UMYr5!H46</f>
        <v>0</v>
      </c>
      <c r="I46" s="31">
        <f>UMYr1!I46+UMYr2!I46+UMYr3!I46+UMYr4!I46+UMYr5!I46</f>
        <v>0</v>
      </c>
      <c r="J46" s="31">
        <f>UMYr1!J46+UMYr2!J46+UMYr3!J46+UMYr4!J46+UMYr5!J46</f>
        <v>0</v>
      </c>
      <c r="K46" s="32">
        <f>UMYr1!K46+UMYr2!K46+UMYr3!K46+UMYr4!K46+UMYr5!K46</f>
        <v>0</v>
      </c>
      <c r="L46" s="31">
        <f>UMYr1!L46+UMYr2!L46+UMYr3!L46+UMYr4!L46+UMYr5!L46</f>
        <v>0</v>
      </c>
      <c r="M46" s="31">
        <f>UMYr1!M46+UMYr2!M46+UMYr3!M46+UMYr4!M46+UMYr5!M46</f>
        <v>0</v>
      </c>
      <c r="N46" s="78">
        <f>UMYr1!N46+UMYr2!N46+UMYr3!N46+UMYr4!N46+UMYr5!N46</f>
        <v>0</v>
      </c>
    </row>
    <row r="47" spans="1:14" ht="12.95" customHeight="1">
      <c r="A47" s="317">
        <f>IF(UMYr1!A47 = "","",UMYr1!A47)</f>
        <v>62000</v>
      </c>
      <c r="B47" s="679" t="str">
        <f>IF(UMYr1!B47 = "","",UMYr1!B47)</f>
        <v/>
      </c>
      <c r="C47" s="27" t="str">
        <f>UMYr1!C47</f>
        <v>Non-Capital Equipment</v>
      </c>
      <c r="D47" s="32">
        <f>Sponsor!I47</f>
        <v>0</v>
      </c>
      <c r="E47" s="31">
        <f>UMYr1!E47+UMYr2!E47+UMYr3!E47+UMYr4!E47+UMYr5!E47</f>
        <v>0</v>
      </c>
      <c r="F47" s="31">
        <f>UMYr1!F47+UMYr2!F47+UMYr3!F47+UMYr4!F47+UMYr5!F47</f>
        <v>0</v>
      </c>
      <c r="G47" s="31">
        <f>UMYr1!G47+UMYr2!G47+UMYr3!G47+UMYr4!G47+UMYr5!G47</f>
        <v>0</v>
      </c>
      <c r="H47" s="31">
        <f>UMYr1!H47+UMYr2!H47+UMYr3!H47+UMYr4!H47+UMYr5!H47</f>
        <v>0</v>
      </c>
      <c r="I47" s="31">
        <f>UMYr1!I47+UMYr2!I47+UMYr3!I47+UMYr4!I47+UMYr5!I47</f>
        <v>0</v>
      </c>
      <c r="J47" s="31">
        <f>UMYr1!J47+UMYr2!J47+UMYr3!J47+UMYr4!J47+UMYr5!J47</f>
        <v>0</v>
      </c>
      <c r="K47" s="32">
        <f>UMYr1!K47+UMYr2!K47+UMYr3!K47+UMYr4!K47+UMYr5!K47</f>
        <v>0</v>
      </c>
      <c r="L47" s="31">
        <f>UMYr1!L47+UMYr2!L47+UMYr3!L47+UMYr4!L47+UMYr5!L47</f>
        <v>0</v>
      </c>
      <c r="M47" s="31">
        <f>UMYr1!M47+UMYr2!M47+UMYr3!M47+UMYr4!M47+UMYr5!M47</f>
        <v>0</v>
      </c>
      <c r="N47" s="78">
        <f>UMYr1!N47+UMYr2!N47+UMYr3!N47+UMYr4!N47+UMYr5!N47</f>
        <v>0</v>
      </c>
    </row>
    <row r="48" spans="1:14" ht="12.95" customHeight="1">
      <c r="A48" s="317" t="str">
        <f>IF(UMYr1!A48 = "","",UMYr1!A48)</f>
        <v/>
      </c>
      <c r="B48" s="679" t="str">
        <f>IF(UMYr1!B48 = "","",UMYr1!B48)</f>
        <v/>
      </c>
      <c r="C48" s="138" t="s">
        <v>696</v>
      </c>
      <c r="D48" s="25">
        <f>Sponsor!I48</f>
        <v>0</v>
      </c>
      <c r="E48" s="165">
        <f>UMYr1!E48+UMYr2!E48+UMYr3!E48+UMYr4!E48+UMYr5!E48</f>
        <v>0</v>
      </c>
      <c r="F48" s="129">
        <f>UMYr1!F48+UMYr2!F48+UMYr3!F48+UMYr4!F48+UMYr5!F48</f>
        <v>0</v>
      </c>
      <c r="G48" s="129">
        <f>UMYr1!G48+UMYr2!G48+UMYr3!G48+UMYr4!G48+UMYr5!G48</f>
        <v>0</v>
      </c>
      <c r="H48" s="129">
        <f>UMYr1!H48+UMYr2!H48+UMYr3!H48+UMYr4!H48+UMYr5!H48</f>
        <v>0</v>
      </c>
      <c r="I48" s="129">
        <f>UMYr1!I48+UMYr2!I48+UMYr3!I48+UMYr4!I48+UMYr5!I48</f>
        <v>0</v>
      </c>
      <c r="J48" s="43">
        <f>UMYr1!J48+UMYr2!J48+UMYr3!J48+UMYr4!J48+UMYr5!J48</f>
        <v>0</v>
      </c>
      <c r="K48" s="32">
        <f>UMYr1!K48+UMYr2!K48+UMYr3!K48+UMYr4!K48+UMYr5!K48</f>
        <v>0</v>
      </c>
      <c r="L48" s="23">
        <f>UMYr1!L48+UMYr2!L48+UMYr3!L48+UMYr4!L48+UMYr5!L48</f>
        <v>0</v>
      </c>
      <c r="M48" s="23">
        <f>UMYr1!M48+UMYr2!M48+UMYr3!M48+UMYr4!M48+UMYr5!M48</f>
        <v>0</v>
      </c>
      <c r="N48" s="173">
        <f>UMYr1!N48+UMYr2!N48+UMYr3!N48+UMYr4!N48+UMYr5!N48</f>
        <v>0</v>
      </c>
    </row>
    <row r="49" spans="1:14" ht="12.95" customHeight="1">
      <c r="A49" s="317">
        <f>IF(UMYr1!A49 = "","",UMYr1!A49)</f>
        <v>55300</v>
      </c>
      <c r="B49" s="679" t="str">
        <f>IF(UMYr1!B49 = "","",UMYr1!B49)</f>
        <v/>
      </c>
      <c r="C49" s="27" t="str">
        <f>UMYr1!C49</f>
        <v>Tuition</v>
      </c>
      <c r="D49" s="32">
        <f>Sponsor!I49</f>
        <v>0</v>
      </c>
      <c r="E49" s="31">
        <f>UMYr1!E49+UMYr2!E49+UMYr3!E49+UMYr4!E49+UMYr5!E49</f>
        <v>0</v>
      </c>
      <c r="F49" s="31">
        <f>UMYr1!F49+UMYr2!F49+UMYr3!F49+UMYr4!F49+UMYr5!F49</f>
        <v>0</v>
      </c>
      <c r="G49" s="31">
        <f>UMYr1!G49+UMYr2!G49+UMYr3!G49+UMYr4!G49+UMYr5!G49</f>
        <v>0</v>
      </c>
      <c r="H49" s="31">
        <f>UMYr1!H49+UMYr2!H49+UMYr3!H49+UMYr4!H49+UMYr5!H49</f>
        <v>0</v>
      </c>
      <c r="I49" s="31">
        <f>UMYr1!I49+UMYr2!I49+UMYr3!I49+UMYr4!I49+UMYr5!I49</f>
        <v>0</v>
      </c>
      <c r="J49" s="31">
        <f>UMYr1!J49+UMYr2!J49+UMYr3!J49+UMYr4!J49+UMYr5!J49</f>
        <v>0</v>
      </c>
      <c r="K49" s="32">
        <f>UMYr1!K49+UMYr2!K49+UMYr3!K49+UMYr4!K49+UMYr5!K49</f>
        <v>0</v>
      </c>
      <c r="L49" s="31">
        <f>UMYr1!L49+UMYr2!L49+UMYr3!L49+UMYr4!L49+UMYr5!L49</f>
        <v>0</v>
      </c>
      <c r="M49" s="31">
        <f>UMYr1!M49+UMYr2!M49+UMYr3!M49+UMYr4!M49+UMYr5!M49</f>
        <v>0</v>
      </c>
      <c r="N49" s="78">
        <f>UMYr1!N49+UMYr2!N49+UMYr3!N49+UMYr4!N49+UMYr5!N49</f>
        <v>0</v>
      </c>
    </row>
    <row r="50" spans="1:14" ht="12.95" customHeight="1">
      <c r="A50" s="317">
        <f>IF(UMYr1!A50 = "","",UMYr1!A50)</f>
        <v>54113</v>
      </c>
      <c r="B50" s="679" t="str">
        <f>IF(UMYr1!B50 = "","",UMYr1!B50)</f>
        <v/>
      </c>
      <c r="C50" s="27" t="str">
        <f>UMYr1!C50</f>
        <v>Grad Student Health Insurance</v>
      </c>
      <c r="D50" s="32">
        <f>Sponsor!I50</f>
        <v>0</v>
      </c>
      <c r="E50" s="31">
        <f>UMYr1!E50+UMYr2!E50+UMYr3!E50+UMYr4!E50+UMYr5!E50</f>
        <v>0</v>
      </c>
      <c r="F50" s="31">
        <f>UMYr1!F50+UMYr2!F50+UMYr3!F50+UMYr4!F50+UMYr5!F50</f>
        <v>0</v>
      </c>
      <c r="G50" s="31">
        <f>UMYr1!G50+UMYr2!G50+UMYr3!G50+UMYr4!G50+UMYr5!G50</f>
        <v>0</v>
      </c>
      <c r="H50" s="31">
        <f>UMYr1!H50+UMYr2!H50+UMYr3!H50+UMYr4!H50+UMYr5!H50</f>
        <v>0</v>
      </c>
      <c r="I50" s="31">
        <f>UMYr1!I50+UMYr2!I50+UMYr3!I50+UMYr4!I50+UMYr5!I50</f>
        <v>0</v>
      </c>
      <c r="J50" s="31">
        <f>UMYr1!J50+UMYr2!J50+UMYr3!J50+UMYr4!J50+UMYr5!J50</f>
        <v>0</v>
      </c>
      <c r="K50" s="32">
        <f>UMYr1!K50+UMYr2!K50+UMYr3!K50+UMYr4!K50+UMYr5!K50</f>
        <v>0</v>
      </c>
      <c r="L50" s="31">
        <f>UMYr1!L50+UMYr2!L50+UMYr3!L50+UMYr4!L50+UMYr5!L50</f>
        <v>0</v>
      </c>
      <c r="M50" s="31">
        <f>UMYr1!M50+UMYr2!M50+UMYr3!M50+UMYr4!M50+UMYr5!M50</f>
        <v>0</v>
      </c>
      <c r="N50" s="78">
        <f>UMYr1!N50+UMYr2!N50+UMYr3!N50+UMYr4!N50+UMYr5!N50</f>
        <v>0</v>
      </c>
    </row>
    <row r="51" spans="1:14" ht="12.95" customHeight="1">
      <c r="A51" s="317" t="str">
        <f>IF(UMYr1!A51 = "","",UMYr1!A51)</f>
        <v>Below</v>
      </c>
      <c r="B51" s="682" t="str">
        <f>IF(UMYr1!B51 = "","",UMYr1!B51)</f>
        <v/>
      </c>
      <c r="C51" s="138" t="s">
        <v>13</v>
      </c>
      <c r="D51" s="32">
        <f>Sponsor!I51</f>
        <v>0</v>
      </c>
      <c r="E51" s="31">
        <f>UMYr1!E51+UMYr2!E51+UMYr3!E51+UMYr4!E51+UMYr5!E51</f>
        <v>0</v>
      </c>
      <c r="F51" s="31">
        <f>UMYr1!F51+UMYr2!F51+UMYr3!F51+UMYr4!F51+UMYr5!F51</f>
        <v>0</v>
      </c>
      <c r="G51" s="31">
        <f>UMYr1!G51+UMYr2!G51+UMYr3!G51+UMYr4!G51+UMYr5!G51</f>
        <v>0</v>
      </c>
      <c r="H51" s="31">
        <f>UMYr1!H51+UMYr2!H51+UMYr3!H51+UMYr4!H51+UMYr5!H51</f>
        <v>0</v>
      </c>
      <c r="I51" s="31">
        <f>UMYr1!I51+UMYr2!I51+UMYr3!I51+UMYr4!I51+UMYr5!I51</f>
        <v>0</v>
      </c>
      <c r="J51" s="31">
        <f>UMYr1!J51+UMYr2!J51+UMYr3!J51+UMYr4!J51+UMYr5!J51</f>
        <v>0</v>
      </c>
      <c r="K51" s="32">
        <f>UMYr1!K51+UMYr2!K51+UMYr3!K51+UMYr4!K51+UMYr5!K51</f>
        <v>0</v>
      </c>
      <c r="L51" s="31">
        <f>UMYr1!L51+UMYr2!L51+UMYr3!L51+UMYr4!L51+UMYr5!L51</f>
        <v>0</v>
      </c>
      <c r="M51" s="31">
        <f>UMYr1!M51+UMYr2!M51+UMYr3!M51+UMYr4!M51+UMYr5!M51</f>
        <v>0</v>
      </c>
      <c r="N51" s="78">
        <f>UMYr1!N51+UMYr2!N51+UMYr3!N51+UMYr4!N51+UMYr5!N51</f>
        <v>0</v>
      </c>
    </row>
    <row r="52" spans="1:14" ht="12.95" customHeight="1" thickBot="1">
      <c r="A52" s="317" t="str">
        <f>IF(UMYr1!A52 = "","",UMYr1!A52)</f>
        <v/>
      </c>
      <c r="B52" s="1011" t="s">
        <v>540</v>
      </c>
      <c r="C52" s="1012"/>
      <c r="D52" s="182">
        <f>Sponsor!I52</f>
        <v>0</v>
      </c>
      <c r="E52" s="183">
        <f>UMYr1!E52+UMYr2!E52+UMYr3!E52+UMYr4!E52+UMYr5!E52</f>
        <v>0</v>
      </c>
      <c r="F52" s="183">
        <f>UMYr1!F52+UMYr2!F52+UMYr3!F52+UMYr4!F52+UMYr5!F52</f>
        <v>0</v>
      </c>
      <c r="G52" s="183">
        <f>UMYr1!G52+UMYr2!G52+UMYr3!G52+UMYr4!G52+UMYr5!G52</f>
        <v>0</v>
      </c>
      <c r="H52" s="183">
        <f>UMYr1!H52+UMYr2!H52+UMYr3!H52+UMYr4!H52+UMYr5!H52</f>
        <v>0</v>
      </c>
      <c r="I52" s="183">
        <f>UMYr1!I52+UMYr2!I52+UMYr3!I52+UMYr4!I52+UMYr5!I52</f>
        <v>0</v>
      </c>
      <c r="J52" s="183">
        <f>UMYr1!J52+UMYr2!J52+UMYr3!J52+UMYr4!J52+UMYr5!J52</f>
        <v>0</v>
      </c>
      <c r="K52" s="184">
        <f>UMYr1!K52+UMYr2!K52+UMYr3!K52+UMYr4!K52+UMYr5!K52</f>
        <v>0</v>
      </c>
      <c r="L52" s="183">
        <f>UMYr1!L52+UMYr2!L52+UMYr3!L52+UMYr4!L52+UMYr5!L52</f>
        <v>0</v>
      </c>
      <c r="M52" s="183">
        <f>UMYr1!M52+UMYr2!M52+UMYr3!M52+UMYr4!M52+UMYr5!M52</f>
        <v>0</v>
      </c>
      <c r="N52" s="185">
        <f>UMYr1!N52+UMYr2!N52+UMYr3!N52+UMYr4!N52+UMYr5!N52</f>
        <v>0</v>
      </c>
    </row>
    <row r="53" spans="1:14" ht="12.95" customHeight="1">
      <c r="A53" s="317" t="str">
        <f>IF(UMYr1!A53 = "","",UMYr1!A53)</f>
        <v/>
      </c>
      <c r="B53" s="1071" t="s">
        <v>656</v>
      </c>
      <c r="C53" s="1070"/>
      <c r="D53" s="25">
        <f>Sponsor!I53</f>
        <v>0</v>
      </c>
      <c r="E53" s="23">
        <f>UMYr1!E53+UMYr2!E53+UMYr3!E53+UMYr4!E53+UMYr5!E53</f>
        <v>0</v>
      </c>
      <c r="F53" s="23">
        <f>UMYr1!F53+UMYr2!F53+UMYr3!F53+UMYr4!F53+UMYr5!F53</f>
        <v>0</v>
      </c>
      <c r="G53" s="23">
        <f>UMYr1!G53+UMYr2!G53+UMYr3!G53+UMYr4!G53+UMYr5!G53</f>
        <v>0</v>
      </c>
      <c r="H53" s="23">
        <f>UMYr1!H53+UMYr2!H53+UMYr3!H53+UMYr4!H53+UMYr5!H53</f>
        <v>0</v>
      </c>
      <c r="I53" s="23">
        <f>UMYr1!I53+UMYr2!I53+UMYr3!I53+UMYr4!I53+UMYr5!I53</f>
        <v>0</v>
      </c>
      <c r="J53" s="31">
        <f>UMYr1!J53+UMYr2!J53+UMYr3!J53+UMYr4!J53+UMYr5!J53</f>
        <v>0</v>
      </c>
      <c r="K53" s="32">
        <f>UMYr1!K53+UMYr2!K53+UMYr3!K53+UMYr4!K53+UMYr5!K53</f>
        <v>0</v>
      </c>
      <c r="L53" s="23">
        <f>UMYr1!L53+UMYr2!L53+UMYr3!L53+UMYr4!L53+UMYr5!L53</f>
        <v>0</v>
      </c>
      <c r="M53" s="23">
        <f>UMYr1!M53+UMYr2!M53+UMYr3!M53+UMYr4!M53+UMYr5!M53</f>
        <v>0</v>
      </c>
      <c r="N53" s="173">
        <f>UMYr1!N53+UMYr2!N53+UMYr3!N53+UMYr4!N53+UMYr5!N53</f>
        <v>0</v>
      </c>
    </row>
    <row r="54" spans="1:14" ht="12.95" customHeight="1">
      <c r="A54" s="317" t="str">
        <f>IF(UMYr1!A54 = "","",UMYr1!A54)</f>
        <v/>
      </c>
      <c r="B54" s="689">
        <v>65711</v>
      </c>
      <c r="C54" s="46" t="str">
        <f>UMYr1!C54</f>
        <v>UM  F&amp;A on Direct Costs</v>
      </c>
      <c r="D54" s="868" t="s">
        <v>658</v>
      </c>
      <c r="E54" s="438">
        <f>UMYr1!E54+UMYr2!E54+UMYr3!E54+UMYr4!E54+UMYr5!E54</f>
        <v>0</v>
      </c>
      <c r="F54" s="407">
        <f>UMYr1!F54+UMYr2!F54+UMYr3!F54+UMYr4!F54+UMYr5!F54</f>
        <v>0</v>
      </c>
      <c r="G54" s="407">
        <f>UMYr1!G54+UMYr2!G54+UMYr3!G54+UMYr4!G54+UMYr5!G54</f>
        <v>0</v>
      </c>
      <c r="H54" s="407">
        <f>UMYr1!H54+UMYr2!H54+UMYr3!H54+UMYr4!H54+UMYr5!H54</f>
        <v>0</v>
      </c>
      <c r="I54" s="407">
        <f>UMYr1!I54+UMYr2!I54+UMYr3!I54+UMYr4!I54+UMYr5!I54</f>
        <v>0</v>
      </c>
      <c r="J54" s="392">
        <f>UMYr1!J54+UMYr2!J54+UMYr3!J54+UMYr4!J54+UMYr5!J54</f>
        <v>0</v>
      </c>
      <c r="K54" s="105">
        <f>UMYr1!K54+UMYr2!K54+UMYr3!K54+UMYr4!K54+UMYr5!K54</f>
        <v>0</v>
      </c>
      <c r="L54" s="998"/>
      <c r="M54" s="731"/>
      <c r="N54" s="176">
        <f>UMYr1!N54+UMYr2!N54+UMYr3!N54+UMYr4!N54+UMYr5!N54</f>
        <v>0</v>
      </c>
    </row>
    <row r="55" spans="1:14" ht="12.95" customHeight="1">
      <c r="A55" s="317"/>
      <c r="B55" s="689">
        <v>65712</v>
      </c>
      <c r="C55" s="350" t="str">
        <f>UMYr1!C55</f>
        <v>Above Sponsor Cap</v>
      </c>
      <c r="D55" s="937"/>
      <c r="E55" s="349">
        <f>UMYr1!E55+UMYr2!E55+UMYr3!E55+UMYr4!E55+UMYr5!E55</f>
        <v>0</v>
      </c>
      <c r="F55" s="888" t="s">
        <v>658</v>
      </c>
      <c r="G55" s="1050"/>
      <c r="H55" s="1050"/>
      <c r="I55" s="1050"/>
      <c r="J55" s="1037"/>
      <c r="K55" s="106">
        <f>UMYr1!K55+UMYr2!K55+UMYr3!K55+UMYr4!K55+UMYr5!K55</f>
        <v>0</v>
      </c>
      <c r="L55" s="892" t="s">
        <v>658</v>
      </c>
      <c r="M55" s="894"/>
      <c r="N55" s="176">
        <f>UMYr1!N55+UMYr2!N55+UMYr3!N55+UMYr4!N55+UMYr5!N55</f>
        <v>0</v>
      </c>
    </row>
    <row r="56" spans="1:14" ht="12.95" customHeight="1">
      <c r="A56" s="317"/>
      <c r="B56" s="689">
        <v>65713</v>
      </c>
      <c r="C56" s="350" t="str">
        <f>UMYr1!C56</f>
        <v>Required  Cost Sharing</v>
      </c>
      <c r="D56" s="937"/>
      <c r="E56" s="404">
        <f>UMYr1!E56+UMYr2!E56+UMYr3!E56+UMYr4!E56+UMYr5!E56</f>
        <v>0</v>
      </c>
      <c r="F56" s="1033"/>
      <c r="G56" s="1030"/>
      <c r="H56" s="1030"/>
      <c r="I56" s="1030"/>
      <c r="J56" s="1038"/>
      <c r="K56" s="106">
        <f>UMYr1!K56+UMYr2!K56+UMYr3!K56+UMYr4!K56+UMYr5!K56</f>
        <v>0</v>
      </c>
      <c r="L56" s="916"/>
      <c r="M56" s="917"/>
      <c r="N56" s="176">
        <f>UMYr1!N56+UMYr2!N56+UMYr3!N56+UMYr4!N56+UMYr5!N56</f>
        <v>0</v>
      </c>
    </row>
    <row r="57" spans="1:14" ht="12.95" customHeight="1">
      <c r="A57" s="317"/>
      <c r="B57" s="689">
        <v>65714</v>
      </c>
      <c r="C57" s="419" t="str">
        <f>UMYr1!C57</f>
        <v xml:space="preserve">State Agreement </v>
      </c>
      <c r="D57" s="937"/>
      <c r="E57" s="404">
        <f>UMYr1!E57+UMYr2!E57+UMYr3!E57+UMYr4!E57+UMYr5!E57</f>
        <v>0</v>
      </c>
      <c r="F57" s="1033"/>
      <c r="G57" s="1030"/>
      <c r="H57" s="1030"/>
      <c r="I57" s="1030"/>
      <c r="J57" s="1038"/>
      <c r="K57" s="106">
        <f>UMYr1!K57+UMYr2!K57+UMYr3!K57+UMYr4!K57+UMYr5!K57</f>
        <v>0</v>
      </c>
      <c r="L57" s="916"/>
      <c r="M57" s="917"/>
      <c r="N57" s="176">
        <f>UMYr1!N57+UMYr2!N57+UMYr3!N57+UMYr4!N57+UMYr5!N57</f>
        <v>0</v>
      </c>
    </row>
    <row r="58" spans="1:14" ht="12.95" customHeight="1">
      <c r="A58" s="317"/>
      <c r="B58" s="689">
        <v>65715</v>
      </c>
      <c r="C58" s="419" t="str">
        <f>UMYr1!C58</f>
        <v>Voluntary Cost Sharing</v>
      </c>
      <c r="D58" s="937"/>
      <c r="E58" s="404">
        <f>UMYr1!E58+UMYr2!E58+UMYr3!E58+UMYr4!E58+UMYr5!E58</f>
        <v>0</v>
      </c>
      <c r="F58" s="1033"/>
      <c r="G58" s="1030"/>
      <c r="H58" s="1030"/>
      <c r="I58" s="1030"/>
      <c r="J58" s="1038"/>
      <c r="K58" s="106">
        <f>UMYr1!K58+UMYr2!K58+UMYr3!K58+UMYr4!K58+UMYr5!K58</f>
        <v>0</v>
      </c>
      <c r="L58" s="916"/>
      <c r="M58" s="917"/>
      <c r="N58" s="176">
        <f>UMYr1!N58+UMYr2!N58+UMYr3!N58+UMYr4!N58+UMYr5!N58</f>
        <v>0</v>
      </c>
    </row>
    <row r="59" spans="1:14" ht="12.95" customHeight="1">
      <c r="A59" s="317"/>
      <c r="B59" s="5"/>
      <c r="C59" s="345" t="str">
        <f>UMYr1!C59</f>
        <v xml:space="preserve">Total  F&amp;A Waiver (FACS) </v>
      </c>
      <c r="D59" s="984"/>
      <c r="E59" s="437">
        <f>UMYr1!E59+UMYr2!E59+UMYr3!E59+UMYr4!E59+UMYr5!E59</f>
        <v>0</v>
      </c>
      <c r="F59" s="1036"/>
      <c r="G59" s="1061"/>
      <c r="H59" s="1061"/>
      <c r="I59" s="1061"/>
      <c r="J59" s="1062"/>
      <c r="K59" s="298">
        <f>UMYr1!K59+UMYr2!K59+UMYr3!K59+UMYr4!K59+UMYr5!K59</f>
        <v>0</v>
      </c>
      <c r="L59" s="895"/>
      <c r="M59" s="897"/>
      <c r="N59" s="176">
        <f>UMYr1!N59+UMYr2!N59+UMYr3!N59+UMYr4!N59+UMYr5!N59</f>
        <v>0</v>
      </c>
    </row>
    <row r="60" spans="1:14" ht="12.95" customHeight="1">
      <c r="A60" s="317">
        <v>65701</v>
      </c>
      <c r="B60" s="808" t="str">
        <f>UMYr1!B60</f>
        <v>Total F&amp;A Charged</v>
      </c>
      <c r="C60" s="809"/>
      <c r="D60" s="636">
        <f>Sponsor!I54</f>
        <v>0</v>
      </c>
      <c r="E60" s="404">
        <f>UMYr1!E60+UMYr2!E60+UMYr3!E60+UMYr4!E60+UMYr5!E60</f>
        <v>0</v>
      </c>
      <c r="F60" s="408">
        <f>UMYr1!F60+UMYr2!F60+UMYr3!F60+UMYr4!F60+UMYr5!F60</f>
        <v>0</v>
      </c>
      <c r="G60" s="136">
        <f>G54</f>
        <v>0</v>
      </c>
      <c r="H60" s="136">
        <f>H54</f>
        <v>0</v>
      </c>
      <c r="I60" s="136">
        <f>I54</f>
        <v>0</v>
      </c>
      <c r="J60" s="136">
        <f>UMYr1!J60+UMYr2!J60+UMYr3!J60+UMYr4!J60+UMYr5!J60</f>
        <v>0</v>
      </c>
      <c r="K60" s="106">
        <f>UMYr1!K60+UMYr2!K60+UMYr3!K60+UMYr4!K60+UMYr5!K60</f>
        <v>0</v>
      </c>
      <c r="L60" s="636">
        <f>UMYr1!L60+UMYr2!L60+UMYr3!L60+UMYr4!L60+UMYr5!L60</f>
        <v>0</v>
      </c>
      <c r="M60" s="636">
        <f>UMYr1!M60+UMYr2!M60+UMYr3!M60+UMYr4!M60+UMYr5!M60</f>
        <v>0</v>
      </c>
      <c r="N60" s="176">
        <f>UMYr1!N60+UMYr2!N60+UMYr3!N60+UMYr4!N60+UMYr5!N60</f>
        <v>0</v>
      </c>
    </row>
    <row r="61" spans="1:14" ht="12.95" customHeight="1" thickBot="1">
      <c r="A61" s="317" t="str">
        <f>IF(UMYr1!A61 = "","",UMYr1!A61)</f>
        <v/>
      </c>
      <c r="B61" s="420">
        <v>65719</v>
      </c>
      <c r="C61" s="181" t="s">
        <v>697</v>
      </c>
      <c r="D61" s="421"/>
      <c r="E61" s="436">
        <f>UMYr1!E61+UMYr2!E61+UMYr3!E61+UMYr4!E61+UMYr5!E61</f>
        <v>0</v>
      </c>
      <c r="F61" s="439">
        <f>UMYr1!F61+UMYr2!F61+UMYr3!F61+UMYr4!F61+UMYr5!F61</f>
        <v>0</v>
      </c>
      <c r="G61" s="471">
        <f>-G54</f>
        <v>0</v>
      </c>
      <c r="H61" s="471">
        <f>-H54</f>
        <v>0</v>
      </c>
      <c r="I61" s="471">
        <f>-I54</f>
        <v>0</v>
      </c>
      <c r="J61" s="186">
        <f>UMYr1!J61+UMYr2!J61+UMYr3!J61+UMYr4!J61+UMYr5!J61</f>
        <v>0</v>
      </c>
      <c r="K61" s="440">
        <f>UMYr1!K61+UMYr2!K61+UMYr3!K61+UMYr4!K61+UMYr5!K61</f>
        <v>0</v>
      </c>
      <c r="L61" s="406"/>
      <c r="M61" s="186"/>
      <c r="N61" s="422">
        <f>UMYr1!N61+UMYr2!N61+UMYr3!N61+UMYr4!N61+UMYr5!N61</f>
        <v>0</v>
      </c>
    </row>
    <row r="62" spans="1:14" ht="12.95" customHeight="1">
      <c r="A62" s="317" t="str">
        <f>IF(UMYr1!A62 = "","",UMYr1!A62)</f>
        <v/>
      </c>
      <c r="B62" s="968" t="s">
        <v>544</v>
      </c>
      <c r="C62" s="915"/>
      <c r="D62" s="510">
        <f>Sponsor!I55</f>
        <v>0</v>
      </c>
      <c r="E62" s="518">
        <f>UMYr1!E62+UMYr2!E62+UMYr3!E62+UMYr4!E62+UMYr5!E62</f>
        <v>0</v>
      </c>
      <c r="F62" s="518">
        <f>UMYr1!F62+UMYr2!F62+UMYr3!F62+UMYr4!F62+UMYr5!F62</f>
        <v>0</v>
      </c>
      <c r="G62" s="518">
        <f>UMYr1!G62+UMYr2!G62+UMYr3!G62+UMYr4!G62+UMYr5!G62</f>
        <v>0</v>
      </c>
      <c r="H62" s="518">
        <f>UMYr1!H62+UMYr2!H62+UMYr3!H62+UMYr4!H62+UMYr5!H62</f>
        <v>0</v>
      </c>
      <c r="I62" s="518">
        <f>UMYr1!I62+UMYr2!I62+UMYr3!I62+UMYr4!I62+UMYr5!I62</f>
        <v>0</v>
      </c>
      <c r="J62" s="518">
        <f>UMYr1!J62+UMYr2!J62+UMYr3!J62+UMYr4!J62+UMYr5!J62</f>
        <v>0</v>
      </c>
      <c r="K62" s="510">
        <f>UMYr1!K62+UMYr2!K62+UMYr3!K62+UMYr4!K62+UMYr5!K62</f>
        <v>0</v>
      </c>
      <c r="L62" s="519">
        <f>UMYr1!L62+UMYr2!L62+UMYr3!L62+UMYr4!L62+UMYr5!L62</f>
        <v>0</v>
      </c>
      <c r="M62" s="518">
        <f>UMYr1!M62+UMYr2!M62+UMYr3!M62+UMYr4!M62+UMYr5!M62</f>
        <v>0</v>
      </c>
      <c r="N62" s="520">
        <f>UMYr1!N62+UMYr2!N62+UMYr3!N62+UMYr4!N62+UMYr5!N62</f>
        <v>0</v>
      </c>
    </row>
    <row r="63" spans="1:14" ht="12.95" customHeight="1">
      <c r="A63" s="317" t="str">
        <f>IF(UMYr1!A63 = "","",UMYr1!A63)</f>
        <v/>
      </c>
      <c r="B63" s="909" t="s">
        <v>662</v>
      </c>
      <c r="C63" s="910"/>
      <c r="D63" s="673">
        <f>D62-D42</f>
        <v>0</v>
      </c>
      <c r="E63" s="521">
        <f>E62-E42</f>
        <v>0</v>
      </c>
      <c r="F63" s="521">
        <f t="shared" ref="F63:N63" si="0">F62-F42</f>
        <v>0</v>
      </c>
      <c r="G63" s="521">
        <f t="shared" si="0"/>
        <v>0</v>
      </c>
      <c r="H63" s="521">
        <f t="shared" si="0"/>
        <v>0</v>
      </c>
      <c r="I63" s="521">
        <f t="shared" si="0"/>
        <v>0</v>
      </c>
      <c r="J63" s="521">
        <f t="shared" si="0"/>
        <v>0</v>
      </c>
      <c r="K63" s="673">
        <f t="shared" si="0"/>
        <v>0</v>
      </c>
      <c r="L63" s="527">
        <f t="shared" si="0"/>
        <v>0</v>
      </c>
      <c r="M63" s="528">
        <f t="shared" si="0"/>
        <v>0</v>
      </c>
      <c r="N63" s="529">
        <f t="shared" si="0"/>
        <v>0</v>
      </c>
    </row>
    <row r="64" spans="1:14" ht="12.95" customHeight="1">
      <c r="A64" s="317" t="str">
        <f>IF(UMYr1!A64 = "","",UMYr1!A64)</f>
        <v/>
      </c>
      <c r="B64" s="1072" t="s">
        <v>663</v>
      </c>
      <c r="C64" s="1047"/>
      <c r="D64" s="1047"/>
      <c r="E64" s="1047"/>
      <c r="F64" s="1047"/>
      <c r="G64" s="1047"/>
      <c r="H64" s="1047"/>
      <c r="I64" s="1047"/>
      <c r="J64" s="1047"/>
      <c r="K64" s="1047"/>
      <c r="L64" s="1047"/>
      <c r="M64" s="1047"/>
      <c r="N64" s="1054"/>
    </row>
    <row r="65" spans="1:14" ht="12.95" customHeight="1">
      <c r="A65" s="317" t="str">
        <f>IF(UMYr1!A65 = "","",UMYr1!A65)</f>
        <v/>
      </c>
      <c r="B65" s="556" t="s">
        <v>698</v>
      </c>
      <c r="C65" s="557"/>
      <c r="D65" s="28"/>
      <c r="E65" s="28"/>
      <c r="F65" s="28"/>
      <c r="G65" s="28"/>
      <c r="H65" s="28"/>
      <c r="I65" s="28"/>
      <c r="J65" s="28"/>
      <c r="K65" s="28"/>
      <c r="L65" s="28"/>
      <c r="M65" s="28"/>
      <c r="N65" s="172"/>
    </row>
    <row r="66" spans="1:14" ht="12.95" customHeight="1">
      <c r="A66" s="317" t="str">
        <f>IF(UMYr1!A66 = "","",UMYr1!A66)</f>
        <v/>
      </c>
      <c r="B66" s="771" t="s">
        <v>558</v>
      </c>
      <c r="C66" s="772"/>
      <c r="D66" s="48">
        <f>Sponsor!E67</f>
        <v>0.437</v>
      </c>
      <c r="E66" s="631">
        <f>D66</f>
        <v>0.437</v>
      </c>
      <c r="F66" s="631">
        <f>D66</f>
        <v>0.437</v>
      </c>
      <c r="G66" s="631">
        <f>D66</f>
        <v>0.437</v>
      </c>
      <c r="H66" s="631">
        <f>D66</f>
        <v>0.437</v>
      </c>
      <c r="I66" s="631">
        <f>D66</f>
        <v>0.437</v>
      </c>
      <c r="J66" s="49"/>
      <c r="K66" s="50"/>
      <c r="L66" s="49">
        <f>UMYr1!L66</f>
        <v>0.437</v>
      </c>
      <c r="M66" s="51">
        <f>UMYr1!M66</f>
        <v>0.437</v>
      </c>
      <c r="N66" s="177"/>
    </row>
    <row r="67" spans="1:14" ht="12.95" customHeight="1">
      <c r="A67" s="317" t="str">
        <f>IF(UMYr1!A67 = "","",UMYr1!A67)</f>
        <v/>
      </c>
      <c r="B67" s="762" t="s">
        <v>699</v>
      </c>
      <c r="C67" s="763"/>
      <c r="D67" s="52">
        <f>Sponsor!E68</f>
        <v>7.6999999999999999E-2</v>
      </c>
      <c r="E67" s="632">
        <f>D67</f>
        <v>7.6999999999999999E-2</v>
      </c>
      <c r="F67" s="53">
        <f>D67</f>
        <v>7.6999999999999999E-2</v>
      </c>
      <c r="G67" s="53">
        <f>D67</f>
        <v>7.6999999999999999E-2</v>
      </c>
      <c r="H67" s="53">
        <f>D67</f>
        <v>7.6999999999999999E-2</v>
      </c>
      <c r="I67" s="53">
        <f>D67</f>
        <v>7.6999999999999999E-2</v>
      </c>
      <c r="J67" s="57"/>
      <c r="K67" s="54"/>
      <c r="L67" s="53">
        <f>UMYr1!L67</f>
        <v>7.6999999999999999E-2</v>
      </c>
      <c r="M67" s="55">
        <f>UMYr1!M67</f>
        <v>7.6999999999999999E-2</v>
      </c>
      <c r="N67" s="178"/>
    </row>
    <row r="68" spans="1:14" ht="12.95" customHeight="1">
      <c r="A68" s="317" t="str">
        <f>IF(UMYr1!A68 = "","",UMYr1!A68)</f>
        <v/>
      </c>
      <c r="B68" s="762" t="str">
        <f>UMYr1!B68</f>
        <v>F&amp;A RATE     On-Campus</v>
      </c>
      <c r="C68" s="763"/>
      <c r="D68" s="52">
        <f>UMYr1!D68</f>
        <v>0.47699999999999998</v>
      </c>
      <c r="E68" s="632">
        <f>D68</f>
        <v>0.47699999999999998</v>
      </c>
      <c r="F68" s="56">
        <f>D68</f>
        <v>0.47699999999999998</v>
      </c>
      <c r="G68" s="53">
        <f>D68</f>
        <v>0.47699999999999998</v>
      </c>
      <c r="H68" s="53">
        <f>D68</f>
        <v>0.47699999999999998</v>
      </c>
      <c r="I68" s="53">
        <f>D68</f>
        <v>0.47699999999999998</v>
      </c>
      <c r="J68" s="89">
        <f>I68</f>
        <v>0.47699999999999998</v>
      </c>
      <c r="K68" s="27"/>
      <c r="L68" s="17">
        <f>UMYr1!L68</f>
        <v>0.47699999999999998</v>
      </c>
      <c r="M68" s="615">
        <f>UMYr1!M68</f>
        <v>0.47699999999999998</v>
      </c>
      <c r="N68" s="178"/>
    </row>
    <row r="69" spans="1:14" ht="12.95" customHeight="1">
      <c r="A69" s="317" t="str">
        <f>IF(UMYr1!A69 = "","",UMYr1!A69)</f>
        <v/>
      </c>
      <c r="B69" s="774" t="str">
        <f>UMYr1!B69</f>
        <v>F&amp;A RATE CHARGED</v>
      </c>
      <c r="C69" s="775"/>
      <c r="D69" s="58">
        <f>UMYr1!D69</f>
        <v>0.47699999999999998</v>
      </c>
      <c r="E69" s="633">
        <f>D69</f>
        <v>0.47699999999999998</v>
      </c>
      <c r="F69" s="224">
        <f>D69</f>
        <v>0.47699999999999998</v>
      </c>
      <c r="G69" s="630">
        <f>D69</f>
        <v>0.47699999999999998</v>
      </c>
      <c r="H69" s="224">
        <f>D69</f>
        <v>0.47699999999999998</v>
      </c>
      <c r="I69" s="224">
        <f>D69</f>
        <v>0.47699999999999998</v>
      </c>
      <c r="J69" s="224">
        <f>I69</f>
        <v>0.47699999999999998</v>
      </c>
      <c r="K69" s="59"/>
      <c r="L69" s="68">
        <f>UMYr1!L69</f>
        <v>0</v>
      </c>
      <c r="M69" s="634">
        <f>UMYr1!M69</f>
        <v>0</v>
      </c>
      <c r="N69" s="179"/>
    </row>
    <row r="70" spans="1:14" ht="12.95" customHeight="1">
      <c r="A70" s="317" t="str">
        <f>IF(UMYr1!A70 = "","",UMYr1!A70)</f>
        <v/>
      </c>
      <c r="B70" s="14" t="s">
        <v>563</v>
      </c>
      <c r="C70" s="28"/>
      <c r="D70" s="28"/>
      <c r="E70" s="28"/>
      <c r="F70" s="28"/>
      <c r="G70" s="28"/>
      <c r="H70" s="28"/>
      <c r="I70" s="28"/>
      <c r="J70" s="28"/>
      <c r="K70" s="28"/>
      <c r="L70" s="28"/>
      <c r="M70" s="28"/>
      <c r="N70" s="172"/>
    </row>
    <row r="71" spans="1:14" ht="12.95" customHeight="1">
      <c r="A71" s="317" t="str">
        <f>IF(UMYr1!A71 = "","",UMYr1!A71)</f>
        <v/>
      </c>
      <c r="B71" s="5"/>
      <c r="C71" s="191" t="s">
        <v>564</v>
      </c>
      <c r="D71" s="30">
        <f>Sponsor!I74</f>
        <v>0</v>
      </c>
      <c r="E71" s="31">
        <f>UMYr1!E71 + UMYr2!E71 + UMYr3!E71 + UMYr4!E71 + UMYr5!E71</f>
        <v>0</v>
      </c>
      <c r="F71" s="31">
        <f>UMYr1!F71 + UMYr2!F71 + UMYr3!F71 + UMYr4!F71 + UMYr5!F71</f>
        <v>0</v>
      </c>
      <c r="G71" s="31">
        <f>UMYr1!G71 + UMYr2!G71 + UMYr3!G71 + UMYr4!G71 + UMYr5!G71</f>
        <v>0</v>
      </c>
      <c r="H71" s="31">
        <f>UMYr1!H71 + UMYr2!H71 + UMYr3!H71 + UMYr4!H71 + UMYr5!H71</f>
        <v>0</v>
      </c>
      <c r="I71" s="31">
        <f>UMYr1!I71 + UMYr2!I71 + UMYr3!I71 + UMYr4!I71 + UMYr5!I71</f>
        <v>0</v>
      </c>
      <c r="J71" s="30">
        <f>UMYr1!J71 + UMYr2!J71 + UMYr3!J71 + UMYr4!J71 + UMYr5!J71</f>
        <v>0</v>
      </c>
      <c r="K71" s="30">
        <f>UMYr1!K71 + UMYr2!K71 + UMYr3!K71 + UMYr4!K71 + UMYr5!K71</f>
        <v>0</v>
      </c>
      <c r="L71" s="31">
        <f>UMYr1!L71 + UMYr2!L71 + UMYr3!L71 + UMYr4!L71 + UMYr5!L71</f>
        <v>0</v>
      </c>
      <c r="M71" s="31">
        <f>UMYr1!M71 + UMYr2!M71 + UMYr3!M71 + UMYr4!M71 + UMYr5!M71</f>
        <v>0</v>
      </c>
      <c r="N71" s="77">
        <f>UMYr1!N71 + UMYr2!N71 + UMYr3!N71 + UMYr4!N71 + UMYr5!N71</f>
        <v>0</v>
      </c>
    </row>
    <row r="72" spans="1:14" ht="12.95" customHeight="1">
      <c r="A72" s="317" t="str">
        <f>IF(UMYr1!A72 = "","",UMYr1!A72)</f>
        <v/>
      </c>
      <c r="B72" s="5"/>
      <c r="C72" s="233" t="s">
        <v>565</v>
      </c>
      <c r="D72" s="32">
        <f>Sponsor!I75</f>
        <v>0</v>
      </c>
      <c r="E72" s="31">
        <f>UMYr1!E72 + UMYr2!E72 + UMYr3!E72 + UMYr4!E72 + UMYr5!E72</f>
        <v>0</v>
      </c>
      <c r="F72" s="31">
        <f>UMYr1!F72 + UMYr2!F72 + UMYr3!F72 + UMYr4!F72 + UMYr5!F72</f>
        <v>0</v>
      </c>
      <c r="G72" s="31">
        <f>UMYr1!G72 + UMYr2!G72 + UMYr3!G72 + UMYr4!G72 + UMYr5!G72</f>
        <v>0</v>
      </c>
      <c r="H72" s="31">
        <f>UMYr1!H72 + UMYr2!H72 + UMYr3!H72 + UMYr4!H72 + UMYr5!H72</f>
        <v>0</v>
      </c>
      <c r="I72" s="31">
        <f>UMYr1!I72 + UMYr2!I72 + UMYr3!I72 + UMYr4!I72 + UMYr5!I72</f>
        <v>0</v>
      </c>
      <c r="J72" s="32">
        <f>UMYr1!J72 + UMYr2!J72 + UMYr3!J72 + UMYr4!J72 + UMYr5!J72</f>
        <v>0</v>
      </c>
      <c r="K72" s="32">
        <f>UMYr1!K72 + UMYr2!K72 + UMYr3!K72 + UMYr4!K72 + UMYr5!K72</f>
        <v>0</v>
      </c>
      <c r="L72" s="31">
        <f>UMYr1!L72 + UMYr2!L72 + UMYr3!L72 + UMYr4!L72 + UMYr5!L72</f>
        <v>0</v>
      </c>
      <c r="M72" s="31">
        <f>UMYr1!M72 + UMYr2!M72 + UMYr3!M72 + UMYr4!M72 + UMYr5!M72</f>
        <v>0</v>
      </c>
      <c r="N72" s="78">
        <f>UMYr1!N72 + UMYr2!N72 + UMYr3!N72 + UMYr4!N72 + UMYr5!N72</f>
        <v>0</v>
      </c>
    </row>
    <row r="73" spans="1:14" ht="12.95" customHeight="1">
      <c r="A73" s="317" t="str">
        <f>IF(UMYr1!A73 = "","",UMYr1!A73)</f>
        <v/>
      </c>
      <c r="B73" s="762" t="s">
        <v>566</v>
      </c>
      <c r="C73" s="1038"/>
      <c r="D73" s="32">
        <f>Sponsor!I76</f>
        <v>0</v>
      </c>
      <c r="E73" s="31">
        <f>UMYr1!E73 + UMYr2!E73 + UMYr3!E73 + UMYr4!E73 + UMYr5!E73</f>
        <v>0</v>
      </c>
      <c r="F73" s="31">
        <f>UMYr1!F73 + UMYr2!F73 + UMYr3!F73 + UMYr4!F73 + UMYr5!F73</f>
        <v>0</v>
      </c>
      <c r="G73" s="31">
        <f>UMYr1!G73 + UMYr2!G73 + UMYr3!G73 + UMYr4!G73 + UMYr5!G73</f>
        <v>0</v>
      </c>
      <c r="H73" s="31">
        <f>UMYr1!H73 + UMYr2!H73 + UMYr3!H73 + UMYr4!H73 + UMYr5!H73</f>
        <v>0</v>
      </c>
      <c r="I73" s="31">
        <f>UMYr1!I73 + UMYr2!I73 + UMYr3!I73 + UMYr4!I73 + UMYr5!I73</f>
        <v>0</v>
      </c>
      <c r="J73" s="32">
        <f>UMYr1!J73 + UMYr2!J73 + UMYr3!J73 + UMYr4!J73 + UMYr5!J73</f>
        <v>0</v>
      </c>
      <c r="K73" s="32">
        <f>UMYr1!K73 + UMYr2!K73 + UMYr3!K73 + UMYr4!K73 + UMYr5!K73</f>
        <v>0</v>
      </c>
      <c r="L73" s="31">
        <f>UMYr1!L73 + UMYr2!L73 + UMYr3!L73 + UMYr4!L73 + UMYr5!L73</f>
        <v>0</v>
      </c>
      <c r="M73" s="31">
        <f>UMYr1!M73 + UMYr2!M73 + UMYr3!M73 + UMYr4!M73 + UMYr5!M73</f>
        <v>0</v>
      </c>
      <c r="N73" s="78">
        <f>UMYr1!N73 + UMYr2!N73 + UMYr3!N73 + UMYr4!N73 + UMYr5!N73</f>
        <v>0</v>
      </c>
    </row>
    <row r="74" spans="1:14" ht="12.95" customHeight="1">
      <c r="A74" s="317" t="str">
        <f>IF(UMYr1!A74 = "","",UMYr1!A74)</f>
        <v/>
      </c>
      <c r="B74" s="1000" t="s">
        <v>567</v>
      </c>
      <c r="C74" s="1063"/>
      <c r="D74" s="26">
        <f>Sponsor!I77</f>
        <v>0</v>
      </c>
      <c r="E74" s="34">
        <f>UMYr1!E74 + UMYr2!E74 + UMYr3!E74 + UMYr4!E74 + UMYr5!E74</f>
        <v>0</v>
      </c>
      <c r="F74" s="34">
        <f>UMYr1!F74 + UMYr2!F74 + UMYr3!F74 + UMYr4!F74 + UMYr5!F74</f>
        <v>0</v>
      </c>
      <c r="G74" s="34">
        <f>UMYr1!G74 + UMYr2!G74 + UMYr3!G74 + UMYr4!G74 + UMYr5!G74</f>
        <v>0</v>
      </c>
      <c r="H74" s="34">
        <f>UMYr1!H74 + UMYr2!H74 + UMYr3!H74 + UMYr4!H74 + UMYr5!H74</f>
        <v>0</v>
      </c>
      <c r="I74" s="34">
        <f>UMYr1!I74 + UMYr2!I74 + UMYr3!I74 + UMYr4!I74 + UMYr5!I74</f>
        <v>0</v>
      </c>
      <c r="J74" s="26">
        <f>UMYr1!J74 + UMYr2!J74 + UMYr3!J74 + UMYr4!J74 + UMYr5!J74</f>
        <v>0</v>
      </c>
      <c r="K74" s="26">
        <f>UMYr1!K74 + UMYr2!K74 + UMYr3!K74 + UMYr4!K74 + UMYr5!K74</f>
        <v>0</v>
      </c>
      <c r="L74" s="34">
        <f>UMYr1!L74 + UMYr2!L74 + UMYr3!L74 + UMYr4!L74 + UMYr5!L74</f>
        <v>0</v>
      </c>
      <c r="M74" s="34">
        <f>UMYr1!M74 + UMYr2!M74 + UMYr3!M74 + UMYr4!M74 + UMYr5!M74</f>
        <v>0</v>
      </c>
      <c r="N74" s="174">
        <f>UMYr1!N74 + UMYr2!N74 + UMYr3!N74 + UMYr4!N74 + UMYr5!N74</f>
        <v>0</v>
      </c>
    </row>
    <row r="75" spans="1:14" ht="12.95" customHeight="1">
      <c r="A75" s="317" t="str">
        <f>IF(UMYr1!A75 = "","",UMYr1!A75)</f>
        <v/>
      </c>
      <c r="B75" s="1001" t="s">
        <v>568</v>
      </c>
      <c r="C75" s="1062"/>
      <c r="D75" s="26">
        <f>Sponsor!I78</f>
        <v>0</v>
      </c>
      <c r="E75" s="23">
        <f>UMYr1!E75 + UMYr2!E75 + UMYr3!E75 + UMYr4!E75 + UMYr5!E75</f>
        <v>0</v>
      </c>
      <c r="F75" s="23">
        <f>UMYr1!F75 + UMYr2!F75 + UMYr3!F75 + UMYr4!F75 + UMYr5!F75</f>
        <v>0</v>
      </c>
      <c r="G75" s="23">
        <f>UMYr1!G75 + UMYr2!G75 + UMYr3!G75 + UMYr4!G75 + UMYr5!G75</f>
        <v>0</v>
      </c>
      <c r="H75" s="23">
        <f>UMYr1!H75 + UMYr2!H75 + UMYr3!H75 + UMYr4!H75 + UMYr5!H75</f>
        <v>0</v>
      </c>
      <c r="I75" s="23">
        <f>UMYr1!I75 + UMYr2!I75 + UMYr3!I75 + UMYr4!I75 + UMYr5!I75</f>
        <v>0</v>
      </c>
      <c r="J75" s="26">
        <f>UMYr1!J75 + UMYr2!J75 + UMYr3!J75 + UMYr4!J75 + UMYr5!J75</f>
        <v>0</v>
      </c>
      <c r="K75" s="26">
        <f>UMYr1!K75 + UMYr2!K75 + UMYr3!K75 + UMYr4!K75 + UMYr5!K75</f>
        <v>0</v>
      </c>
      <c r="L75" s="23">
        <f>UMYr1!L75 + UMYr2!L75 + UMYr3!L75 + UMYr4!L75 + UMYr5!L75</f>
        <v>0</v>
      </c>
      <c r="M75" s="23">
        <f>UMYr1!M75 + UMYr2!M75 + UMYr3!M75 + UMYr4!M75 + UMYr5!M75</f>
        <v>0</v>
      </c>
      <c r="N75" s="174">
        <f>UMYr1!N75 + UMYr2!N75 + UMYr3!N75 + UMYr4!N75 + UMYr5!N75</f>
        <v>0</v>
      </c>
    </row>
    <row r="76" spans="1:14" ht="12.95" customHeight="1">
      <c r="A76" s="317" t="str">
        <f>IF(UMYr1!A76 = "","",UMYr1!A76)</f>
        <v/>
      </c>
      <c r="B76" s="15" t="s">
        <v>569</v>
      </c>
      <c r="C76" s="335"/>
      <c r="D76" s="335"/>
      <c r="E76" s="335"/>
      <c r="F76" s="335"/>
      <c r="G76" s="335"/>
      <c r="H76" s="335"/>
      <c r="I76" s="335"/>
      <c r="J76" s="335"/>
      <c r="K76" s="335"/>
      <c r="L76" s="335"/>
      <c r="M76" s="335"/>
      <c r="N76" s="336"/>
    </row>
    <row r="77" spans="1:14" ht="12.95" customHeight="1">
      <c r="A77" s="317" t="str">
        <f>IF(UMYr1!A77 = "","",UMYr1!A77)</f>
        <v/>
      </c>
      <c r="B77" s="771" t="s">
        <v>681</v>
      </c>
      <c r="C77" s="772"/>
      <c r="D77" s="665">
        <f>UMYr1!D77</f>
        <v>0</v>
      </c>
      <c r="E77" s="337"/>
      <c r="F77" s="189"/>
      <c r="G77" s="189"/>
      <c r="H77" s="189"/>
      <c r="I77" s="189"/>
      <c r="J77" s="28"/>
      <c r="K77" s="28"/>
      <c r="L77" s="28"/>
      <c r="M77" s="28"/>
      <c r="N77" s="172"/>
    </row>
    <row r="78" spans="1:14" ht="12.95" customHeight="1">
      <c r="A78" s="317" t="str">
        <f>IF(UMYr1!A78 = "","",UMYr1!A78)</f>
        <v/>
      </c>
      <c r="B78" s="762" t="s">
        <v>542</v>
      </c>
      <c r="C78" s="1038"/>
      <c r="D78" s="31">
        <f>Sponsor!I81</f>
        <v>0</v>
      </c>
      <c r="E78" s="118">
        <f>UMYr1!E78 + UMYr2!E78 + UMYr3!E78 + UMYr4!E78 + UMYr5!E78</f>
        <v>0</v>
      </c>
      <c r="F78" s="119">
        <f>UMYr1!F78 + UMYr2!F78 + UMYr3!F78 + UMYr4!F78 + UMYr5!F78</f>
        <v>0</v>
      </c>
      <c r="G78" s="119">
        <f>UMYr1!G78 + UMYr2!G78 + UMYr3!G78 + UMYr4!G78 + UMYr5!G78</f>
        <v>0</v>
      </c>
      <c r="H78" s="119">
        <f>UMYr1!H78 + UMYr2!H78 + UMYr3!H78 + UMYr4!H78 + UMYr5!H78</f>
        <v>0</v>
      </c>
      <c r="I78" s="166">
        <f>UMYr1!I78 + UMYr2!I78 + UMYr3!I78 + UMYr4!I78 + UMYr5!I78</f>
        <v>0</v>
      </c>
      <c r="J78" s="30">
        <f>UMYr1!J78 + UMYr2!J78 + UMYr3!J78 + UMYr4!J78 + UMYr5!J78</f>
        <v>0</v>
      </c>
      <c r="K78" s="11">
        <f>UMYr1!K78 + UMYr2!K78 + UMYr3!K78 + UMYr4!K78 + UMYr5!K78</f>
        <v>0</v>
      </c>
      <c r="L78" s="1002" t="s">
        <v>679</v>
      </c>
      <c r="M78" s="894"/>
      <c r="N78" s="78">
        <f>UMYr1!N78 + UMYr2!N78 + UMYr3!N78 + UMYr4!N78 + UMYr5!N78</f>
        <v>0</v>
      </c>
    </row>
    <row r="79" spans="1:14" ht="12.95" customHeight="1">
      <c r="A79" s="317" t="str">
        <f>IF(UMYr1!A79 = "","",UMYr1!A79)</f>
        <v/>
      </c>
      <c r="B79" s="762" t="s">
        <v>570</v>
      </c>
      <c r="C79" s="1038"/>
      <c r="D79" s="31">
        <f>Sponsor!I82</f>
        <v>0</v>
      </c>
      <c r="E79" s="1002" t="s">
        <v>679</v>
      </c>
      <c r="F79" s="1003"/>
      <c r="G79" s="1003"/>
      <c r="H79" s="1003"/>
      <c r="I79" s="1004"/>
      <c r="J79" s="32">
        <f>UMYr1!J79 + UMYr2!J79 + UMYr3!J79 + UMYr4!J79 + UMYr5!J79</f>
        <v>0</v>
      </c>
      <c r="K79" s="11">
        <f>UMYr1!K79 + UMYr2!K79 + UMYr3!K79 + UMYr4!K79 + UMYr5!K79</f>
        <v>0</v>
      </c>
      <c r="L79" s="916"/>
      <c r="M79" s="917"/>
      <c r="N79" s="78">
        <f>UMYr1!N79 + UMYr2!N79 + UMYr3!N79 + UMYr4!N79 + UMYr5!N79</f>
        <v>0</v>
      </c>
    </row>
    <row r="80" spans="1:14" ht="12.95" customHeight="1">
      <c r="A80" s="317" t="str">
        <f>IF(UMYr1!A80 = "","",UMYr1!A80)</f>
        <v/>
      </c>
      <c r="B80" s="762" t="s">
        <v>571</v>
      </c>
      <c r="C80" s="1038"/>
      <c r="D80" s="31">
        <f>Sponsor!I83</f>
        <v>0</v>
      </c>
      <c r="E80" s="1005"/>
      <c r="F80" s="1006"/>
      <c r="G80" s="1006"/>
      <c r="H80" s="1006"/>
      <c r="I80" s="956"/>
      <c r="J80" s="32">
        <f>UMYr1!J80 + UMYr2!J80 + UMYr3!J80 + UMYr4!J80 + UMYr5!J80</f>
        <v>0</v>
      </c>
      <c r="K80" s="11">
        <f>UMYr1!K80 + UMYr2!K80 + UMYr3!K80 + UMYr4!K80 + UMYr5!K80</f>
        <v>0</v>
      </c>
      <c r="L80" s="916"/>
      <c r="M80" s="917"/>
      <c r="N80" s="78">
        <f>UMYr1!N80 + UMYr2!N80 + UMYr3!N80 + UMYr4!N80 + UMYr5!N80</f>
        <v>0</v>
      </c>
    </row>
    <row r="81" spans="1:14" ht="12.95" customHeight="1">
      <c r="A81" s="317" t="str">
        <f>IF(UMYr1!A81 = "","",UMYr1!A81)</f>
        <v/>
      </c>
      <c r="B81" s="762" t="s">
        <v>572</v>
      </c>
      <c r="C81" s="1038"/>
      <c r="D81" s="31">
        <f>Sponsor!I84</f>
        <v>0</v>
      </c>
      <c r="E81" s="1005"/>
      <c r="F81" s="1006"/>
      <c r="G81" s="1006"/>
      <c r="H81" s="1006"/>
      <c r="I81" s="956"/>
      <c r="J81" s="32">
        <f>UMYr1!J81 + UMYr2!J81 + UMYr3!J81 + UMYr4!J81 + UMYr5!J81</f>
        <v>0</v>
      </c>
      <c r="K81" s="11">
        <f>UMYr1!K81 + UMYr2!K81 + UMYr3!K81 + UMYr4!K81 + UMYr5!K81</f>
        <v>0</v>
      </c>
      <c r="L81" s="916"/>
      <c r="M81" s="917"/>
      <c r="N81" s="78">
        <f>UMYr1!N81 + UMYr2!N81 + UMYr3!N81 + UMYr4!N81 + UMYr5!N81</f>
        <v>0</v>
      </c>
    </row>
    <row r="82" spans="1:14" ht="12.95" customHeight="1">
      <c r="A82" s="317" t="str">
        <f>IF(UMYr1!A82 = "","",UMYr1!A82)</f>
        <v/>
      </c>
      <c r="B82" s="5"/>
      <c r="C82" s="233" t="s">
        <v>573</v>
      </c>
      <c r="D82" s="23">
        <f>Sponsor!I85</f>
        <v>0</v>
      </c>
      <c r="E82" s="1005"/>
      <c r="F82" s="1006"/>
      <c r="G82" s="1006"/>
      <c r="H82" s="1006"/>
      <c r="I82" s="956"/>
      <c r="J82" s="69">
        <f>UMYr1!J82 + UMYr2!J82 + UMYr3!J82 + UMYr4!J82 + UMYr5!J82</f>
        <v>0</v>
      </c>
      <c r="K82" s="11">
        <f>UMYr1!K82 + UMYr2!K82 + UMYr3!K82 + UMYr4!K82 + UMYr5!K82</f>
        <v>0</v>
      </c>
      <c r="L82" s="916"/>
      <c r="M82" s="917"/>
      <c r="N82" s="173">
        <f>UMYr1!N82 + UMYr2!N82 + UMYr3!N82 + UMYr4!N82 + UMYr5!N82</f>
        <v>0</v>
      </c>
    </row>
    <row r="83" spans="1:14" ht="12.95" customHeight="1">
      <c r="A83" s="317" t="str">
        <f>IF(UMYr1!A83 = "","",UMYr1!A83)</f>
        <v/>
      </c>
      <c r="B83" s="818" t="s">
        <v>670</v>
      </c>
      <c r="C83" s="1038"/>
      <c r="D83" s="23">
        <f>Sponsor!I86</f>
        <v>0</v>
      </c>
      <c r="E83" s="1005"/>
      <c r="F83" s="1006"/>
      <c r="G83" s="1006"/>
      <c r="H83" s="1006"/>
      <c r="I83" s="956"/>
      <c r="J83" s="32">
        <f>UMYr1!J83 + UMYr2!J83 + UMYr3!J83 + UMYr4!J83 + UMYr5!J83</f>
        <v>0</v>
      </c>
      <c r="K83" s="11">
        <f>UMYr1!K83 + UMYr2!K83 + UMYr3!K83 + UMYr4!K83 + UMYr5!K83</f>
        <v>0</v>
      </c>
      <c r="L83" s="916"/>
      <c r="M83" s="917"/>
      <c r="N83" s="173">
        <f>UMYr1!N83 + UMYr2!N83 + UMYr3!N83 + UMYr4!N83 + UMYr5!N83</f>
        <v>0</v>
      </c>
    </row>
    <row r="84" spans="1:14" s="235" customFormat="1" ht="12.95" customHeight="1">
      <c r="A84" s="338" t="str">
        <f>IF(UMYr1!A84 = "","",UMYr1!A84)</f>
        <v/>
      </c>
      <c r="B84" s="1001" t="s">
        <v>575</v>
      </c>
      <c r="C84" s="1062"/>
      <c r="D84" s="671">
        <f>Sponsor!I87</f>
        <v>0</v>
      </c>
      <c r="E84" s="1007"/>
      <c r="F84" s="1008"/>
      <c r="G84" s="1008"/>
      <c r="H84" s="1008"/>
      <c r="I84" s="1009"/>
      <c r="J84" s="671">
        <f>UMYr1!J84 + UMYr2!J84 + UMYr3!J84 + UMYr4!J84 + UMYr5!J84</f>
        <v>0</v>
      </c>
      <c r="K84" s="61">
        <f>UMYr1!K84 + UMYr2!K84 + UMYr3!K84 + UMYr4!K84 + UMYr5!K84</f>
        <v>0</v>
      </c>
      <c r="L84" s="895"/>
      <c r="M84" s="897"/>
      <c r="N84" s="180">
        <f>UMYr1!N84 + UMYr2!N84 + UMYr3!N84 + UMYr4!N84 + UMYr5!N84</f>
        <v>0</v>
      </c>
    </row>
    <row r="85" spans="1:14" ht="12.95" customHeight="1">
      <c r="A85" s="317" t="str">
        <f>IF(UMYr1!A85 = "","",UMYr1!A85)</f>
        <v/>
      </c>
      <c r="B85" s="15" t="s">
        <v>576</v>
      </c>
      <c r="C85" s="335"/>
      <c r="D85" s="335"/>
      <c r="E85" s="335"/>
      <c r="F85" s="335"/>
      <c r="G85" s="335"/>
      <c r="H85" s="335"/>
      <c r="I85" s="335"/>
      <c r="J85" s="335"/>
      <c r="K85" s="335"/>
      <c r="L85" s="335"/>
      <c r="M85" s="335"/>
      <c r="N85" s="336"/>
    </row>
    <row r="86" spans="1:14" ht="12.95" customHeight="1">
      <c r="A86" s="317" t="str">
        <f>IF(UMYr1!A86 = "","",UMYr1!A86)</f>
        <v/>
      </c>
      <c r="B86" s="690" t="str">
        <f>UMYr1!B86</f>
        <v/>
      </c>
      <c r="C86" s="680" t="str">
        <f>IF(UMYr1!C86="","",UMYr1!C86)</f>
        <v/>
      </c>
      <c r="D86" s="30">
        <f>Sponsor!I89</f>
        <v>0</v>
      </c>
      <c r="E86" s="29">
        <f>UMYr1!E86 + UMYr2!E86 + UMYr3!E86 + UMYr4!E86 + UMYr5!E86</f>
        <v>0</v>
      </c>
      <c r="F86" s="29">
        <f>UMYr1!F86 + UMYr2!F86 + UMYr3!F86 + UMYr4!F86 + UMYr5!F86</f>
        <v>0</v>
      </c>
      <c r="G86" s="29">
        <f>UMYr1!G86 + UMYr2!G86 + UMYr3!G86 + UMYr4!G86 + UMYr5!G86</f>
        <v>0</v>
      </c>
      <c r="H86" s="29">
        <f>UMYr1!H86 + UMYr2!H86 + UMYr3!H86 + UMYr4!H86 + UMYr5!H86</f>
        <v>0</v>
      </c>
      <c r="I86" s="29">
        <f>UMYr1!I86 + UMYr2!I86 + UMYr3!I86 + UMYr4!I86 + UMYr5!I86</f>
        <v>0</v>
      </c>
      <c r="J86" s="30">
        <f>UMYr1!J86 + UMYr2!J86 + UMYr3!J86 + UMYr4!J86 + UMYr5!J86</f>
        <v>0</v>
      </c>
      <c r="K86" s="30">
        <f>UMYr1!K86 + UMYr2!K86 + UMYr3!K86 + UMYr4!K86 + UMYr5!K86</f>
        <v>0</v>
      </c>
      <c r="L86" s="29">
        <f>UMYr1!L86 + UMYr2!L86 + UMYr3!L86 + UMYr4!L86 + UMYr5!L86</f>
        <v>0</v>
      </c>
      <c r="M86" s="29">
        <f>UMYr1!M86 + UMYr2!M86 + UMYr3!M86 + UMYr4!M86 + UMYr5!M86</f>
        <v>0</v>
      </c>
      <c r="N86" s="77">
        <f>UMYr1!N86 + UMYr2!N86 + UMYr3!N86 + UMYr4!N86 + UMYr5!N86</f>
        <v>0</v>
      </c>
    </row>
    <row r="87" spans="1:14" ht="12.95" customHeight="1">
      <c r="A87" s="317" t="str">
        <f>IF(UMYr1!A87 = "","",UMYr1!A87)</f>
        <v/>
      </c>
      <c r="B87" s="690" t="str">
        <f>UMYr1!B87</f>
        <v/>
      </c>
      <c r="C87" s="680" t="str">
        <f>IF(UMYr1!C87="","",UMYr1!C87)</f>
        <v/>
      </c>
      <c r="D87" s="32">
        <f>Sponsor!I90</f>
        <v>0</v>
      </c>
      <c r="E87" s="31">
        <f>UMYr1!E87 + UMYr2!E87 + UMYr3!E87 + UMYr4!E87 + UMYr5!E87</f>
        <v>0</v>
      </c>
      <c r="F87" s="31">
        <f>UMYr1!F87 + UMYr2!F87 + UMYr3!F87 + UMYr4!F87 + UMYr5!F87</f>
        <v>0</v>
      </c>
      <c r="G87" s="31">
        <f>UMYr1!G87 + UMYr2!G87 + UMYr3!G87 + UMYr4!G87 + UMYr5!G87</f>
        <v>0</v>
      </c>
      <c r="H87" s="31">
        <f>UMYr1!H87 + UMYr2!H87 + UMYr3!H87 + UMYr4!H87 + UMYr5!H87</f>
        <v>0</v>
      </c>
      <c r="I87" s="31">
        <f>UMYr1!I87 + UMYr2!I87 + UMYr3!I87 + UMYr4!I87 + UMYr5!I87</f>
        <v>0</v>
      </c>
      <c r="J87" s="32">
        <f>UMYr1!J87 + UMYr2!J87 + UMYr3!J87 + UMYr4!J87 + UMYr5!J87</f>
        <v>0</v>
      </c>
      <c r="K87" s="32">
        <f>UMYr1!K87 + UMYr2!K87 + UMYr3!K87 + UMYr4!K87 + UMYr5!K87</f>
        <v>0</v>
      </c>
      <c r="L87" s="31">
        <f>UMYr1!L87 + UMYr2!L87 + UMYr3!L87 + UMYr4!L87 + UMYr5!L87</f>
        <v>0</v>
      </c>
      <c r="M87" s="31">
        <f>UMYr1!M87 + UMYr2!M87 + UMYr3!M87 + UMYr4!M87 + UMYr5!M87</f>
        <v>0</v>
      </c>
      <c r="N87" s="78">
        <f>UMYr1!N87 + UMYr2!N87 + UMYr3!N87 + UMYr4!N87 + UMYr5!N87</f>
        <v>0</v>
      </c>
    </row>
    <row r="88" spans="1:14" ht="12.95" customHeight="1">
      <c r="A88" s="317" t="str">
        <f>IF(UMYr1!A88 = "","",UMYr1!A88)</f>
        <v/>
      </c>
      <c r="B88" s="690" t="str">
        <f>UMYr1!B88</f>
        <v/>
      </c>
      <c r="C88" s="680" t="str">
        <f>IF(UMYr1!C88="","",UMYr1!C88)</f>
        <v/>
      </c>
      <c r="D88" s="32">
        <f>Sponsor!I91</f>
        <v>0</v>
      </c>
      <c r="E88" s="31">
        <f>UMYr1!E88 + UMYr2!E88 + UMYr3!E88 + UMYr4!E88 + UMYr5!E88</f>
        <v>0</v>
      </c>
      <c r="F88" s="31">
        <f>UMYr1!F88 + UMYr2!F88 + UMYr3!F88 + UMYr4!F88 + UMYr5!F88</f>
        <v>0</v>
      </c>
      <c r="G88" s="31">
        <f>UMYr1!G88 + UMYr2!G88 + UMYr3!G88 + UMYr4!G88 + UMYr5!G88</f>
        <v>0</v>
      </c>
      <c r="H88" s="31">
        <f>UMYr1!H88 + UMYr2!H88 + UMYr3!H88 + UMYr4!H88 + UMYr5!H88</f>
        <v>0</v>
      </c>
      <c r="I88" s="31">
        <f>UMYr1!I88 + UMYr2!I88 + UMYr3!I88 + UMYr4!I88 + UMYr5!I88</f>
        <v>0</v>
      </c>
      <c r="J88" s="32">
        <f>UMYr1!J88 + UMYr2!J88 + UMYr3!J88 + UMYr4!J88 + UMYr5!J88</f>
        <v>0</v>
      </c>
      <c r="K88" s="32">
        <f>UMYr1!K88 + UMYr2!K88 + UMYr3!K88 + UMYr4!K88 + UMYr5!K88</f>
        <v>0</v>
      </c>
      <c r="L88" s="31">
        <f>UMYr1!L88 + UMYr2!L88 + UMYr3!L88 + UMYr4!L88 + UMYr5!L88</f>
        <v>0</v>
      </c>
      <c r="M88" s="31">
        <f>UMYr1!M88 + UMYr2!M88 + UMYr3!M88 + UMYr4!M88 + UMYr5!M88</f>
        <v>0</v>
      </c>
      <c r="N88" s="78">
        <f>UMYr1!N88 + UMYr2!N88 + UMYr3!N88 + UMYr4!N88 + UMYr5!N88</f>
        <v>0</v>
      </c>
    </row>
    <row r="89" spans="1:14" ht="12.95" customHeight="1">
      <c r="A89" s="317" t="str">
        <f>IF(UMYr1!A89 = "","",UMYr1!A89)</f>
        <v/>
      </c>
      <c r="B89" s="690" t="str">
        <f>UMYr1!B89</f>
        <v/>
      </c>
      <c r="C89" s="680" t="str">
        <f>IF(UMYr1!C89="","",UMYr1!C89)</f>
        <v/>
      </c>
      <c r="D89" s="32">
        <f>Sponsor!I92</f>
        <v>0</v>
      </c>
      <c r="E89" s="31">
        <f>UMYr1!E89 + UMYr2!E89 + UMYr3!E89 + UMYr4!E89 + UMYr5!E89</f>
        <v>0</v>
      </c>
      <c r="F89" s="31">
        <f>UMYr1!F89 + UMYr2!F89 + UMYr3!F89 + UMYr4!F89 + UMYr5!F89</f>
        <v>0</v>
      </c>
      <c r="G89" s="31">
        <f>UMYr1!G89 + UMYr2!G89 + UMYr3!G89 + UMYr4!G89 + UMYr5!G89</f>
        <v>0</v>
      </c>
      <c r="H89" s="31">
        <f>UMYr1!H89 + UMYr2!H89 + UMYr3!H89 + UMYr4!H89 + UMYr5!H89</f>
        <v>0</v>
      </c>
      <c r="I89" s="31">
        <f>UMYr1!I89 + UMYr2!I89 + UMYr3!I89 + UMYr4!I89 + UMYr5!I89</f>
        <v>0</v>
      </c>
      <c r="J89" s="32">
        <f>UMYr1!J89 + UMYr2!J89 + UMYr3!J89 + UMYr4!J89 + UMYr5!J89</f>
        <v>0</v>
      </c>
      <c r="K89" s="32">
        <f>UMYr1!K89 + UMYr2!K89 + UMYr3!K89 + UMYr4!K89 + UMYr5!K89</f>
        <v>0</v>
      </c>
      <c r="L89" s="31">
        <f>UMYr1!L89 + UMYr2!L89 + UMYr3!L89 + UMYr4!L89 + UMYr5!L89</f>
        <v>0</v>
      </c>
      <c r="M89" s="31">
        <f>UMYr1!M89 + UMYr2!M89 + UMYr3!M89 + UMYr4!M89 + UMYr5!M89</f>
        <v>0</v>
      </c>
      <c r="N89" s="78">
        <f>UMYr1!N89 + UMYr2!N89 + UMYr3!N89 + UMYr4!N89 + UMYr5!N89</f>
        <v>0</v>
      </c>
    </row>
    <row r="90" spans="1:14" ht="12.95" customHeight="1">
      <c r="A90" s="317" t="str">
        <f>IF(UMYr1!A90 = "","",UMYr1!A90)</f>
        <v/>
      </c>
      <c r="B90" s="690" t="str">
        <f>UMYr1!B90</f>
        <v/>
      </c>
      <c r="C90" s="680" t="str">
        <f>IF(UMYr1!C90="","",UMYr1!C90)</f>
        <v/>
      </c>
      <c r="D90" s="32">
        <f>Sponsor!I93</f>
        <v>0</v>
      </c>
      <c r="E90" s="31">
        <f>UMYr1!E90 + UMYr2!E90 + UMYr3!E90 + UMYr4!E90 + UMYr5!E90</f>
        <v>0</v>
      </c>
      <c r="F90" s="31">
        <f>UMYr1!F90 + UMYr2!F90 + UMYr3!F90 + UMYr4!F90 + UMYr5!F90</f>
        <v>0</v>
      </c>
      <c r="G90" s="31">
        <f>UMYr1!G90 + UMYr2!G90 + UMYr3!G90 + UMYr4!G90 + UMYr5!G90</f>
        <v>0</v>
      </c>
      <c r="H90" s="31">
        <f>UMYr1!H90 + UMYr2!H90 + UMYr3!H90 + UMYr4!H90 + UMYr5!H90</f>
        <v>0</v>
      </c>
      <c r="I90" s="31">
        <f>UMYr1!I90 + UMYr2!I90 + UMYr3!I90 + UMYr4!I90 + UMYr5!I90</f>
        <v>0</v>
      </c>
      <c r="J90" s="32">
        <f>UMYr1!J90 + UMYr2!J90 + UMYr3!J90 + UMYr4!J90 + UMYr5!J90</f>
        <v>0</v>
      </c>
      <c r="K90" s="32">
        <f>UMYr1!K90 + UMYr2!K90 + UMYr3!K90 + UMYr4!K90 + UMYr5!K90</f>
        <v>0</v>
      </c>
      <c r="L90" s="31">
        <f>UMYr1!L90 + UMYr2!L90 + UMYr3!L90 + UMYr4!L90 + UMYr5!L90</f>
        <v>0</v>
      </c>
      <c r="M90" s="31">
        <f>UMYr1!M90 + UMYr2!M90 + UMYr3!M90 + UMYr4!M90 + UMYr5!M90</f>
        <v>0</v>
      </c>
      <c r="N90" s="78">
        <f>UMYr1!N90 + UMYr2!N90 + UMYr3!N90 + UMYr4!N90 + UMYr5!N90</f>
        <v>0</v>
      </c>
    </row>
    <row r="91" spans="1:14" ht="12.95" customHeight="1">
      <c r="A91" s="317" t="str">
        <f>IF(UMYr1!A91 = "","",UMYr1!A91)</f>
        <v/>
      </c>
      <c r="B91" s="690" t="str">
        <f>UMYr1!B91</f>
        <v/>
      </c>
      <c r="C91" s="680" t="str">
        <f>IF(UMYr1!C91="","",UMYr1!C91)</f>
        <v/>
      </c>
      <c r="D91" s="32">
        <f>Sponsor!I94</f>
        <v>0</v>
      </c>
      <c r="E91" s="31">
        <f>UMYr1!E91 + UMYr2!E91 + UMYr3!E91 + UMYr4!E91 + UMYr5!E91</f>
        <v>0</v>
      </c>
      <c r="F91" s="31">
        <f>UMYr1!F91 + UMYr2!F91 + UMYr3!F91 + UMYr4!F91 + UMYr5!F91</f>
        <v>0</v>
      </c>
      <c r="G91" s="31">
        <f>UMYr1!G91 + UMYr2!G91 + UMYr3!G91 + UMYr4!G91 + UMYr5!G91</f>
        <v>0</v>
      </c>
      <c r="H91" s="31">
        <f>UMYr1!H91 + UMYr2!H91 + UMYr3!H91 + UMYr4!H91 + UMYr5!H91</f>
        <v>0</v>
      </c>
      <c r="I91" s="31">
        <f>UMYr1!I91 + UMYr2!I91 + UMYr3!I91 + UMYr4!I91 + UMYr5!I91</f>
        <v>0</v>
      </c>
      <c r="J91" s="32">
        <f>UMYr1!J91 + UMYr2!J91 + UMYr3!J91 + UMYr4!J91 + UMYr5!J91</f>
        <v>0</v>
      </c>
      <c r="K91" s="32">
        <f>UMYr1!K91 + UMYr2!K91 + UMYr3!K91 + UMYr4!K91 + UMYr5!K91</f>
        <v>0</v>
      </c>
      <c r="L91" s="31">
        <f>UMYr1!L91 + UMYr2!L91 + UMYr3!L91 + UMYr4!L91 + UMYr5!L91</f>
        <v>0</v>
      </c>
      <c r="M91" s="31">
        <f>UMYr1!M91 + UMYr2!M91 + UMYr3!M91 + UMYr4!M91 + UMYr5!M91</f>
        <v>0</v>
      </c>
      <c r="N91" s="78">
        <f>UMYr1!N91 + UMYr2!N91 + UMYr3!N91 + UMYr4!N91 + UMYr5!N91</f>
        <v>0</v>
      </c>
    </row>
    <row r="92" spans="1:14" ht="12.95" customHeight="1">
      <c r="A92" s="317" t="str">
        <f>IF(UMYr1!A92 = "","",UMYr1!A92)</f>
        <v/>
      </c>
      <c r="B92" s="690" t="str">
        <f>UMYr1!B92</f>
        <v/>
      </c>
      <c r="C92" s="680" t="str">
        <f>IF(UMYr1!C92="","",UMYr1!C92)</f>
        <v/>
      </c>
      <c r="D92" s="32">
        <f>Sponsor!I95</f>
        <v>0</v>
      </c>
      <c r="E92" s="31">
        <f>UMYr1!E92 + UMYr2!E92 + UMYr3!E92 + UMYr4!E92 + UMYr5!E92</f>
        <v>0</v>
      </c>
      <c r="F92" s="31">
        <f>UMYr1!F92 + UMYr2!F92 + UMYr3!F92 + UMYr4!F92 + UMYr5!F92</f>
        <v>0</v>
      </c>
      <c r="G92" s="31">
        <f>UMYr1!G92 + UMYr2!G92 + UMYr3!G92 + UMYr4!G92 + UMYr5!G92</f>
        <v>0</v>
      </c>
      <c r="H92" s="31">
        <f>UMYr1!H92 + UMYr2!H92 + UMYr3!H92 + UMYr4!H92 + UMYr5!H92</f>
        <v>0</v>
      </c>
      <c r="I92" s="31">
        <f>UMYr1!I92 + UMYr2!I92 + UMYr3!I92 + UMYr4!I92 + UMYr5!I92</f>
        <v>0</v>
      </c>
      <c r="J92" s="32">
        <f>UMYr1!J92 + UMYr2!J92 + UMYr3!J92 + UMYr4!J92 + UMYr5!J92</f>
        <v>0</v>
      </c>
      <c r="K92" s="32">
        <f>UMYr1!K92 + UMYr2!K92 + UMYr3!K92 + UMYr4!K92 + UMYr5!K92</f>
        <v>0</v>
      </c>
      <c r="L92" s="31">
        <f>UMYr1!L92 + UMYr2!L92 + UMYr3!L92 + UMYr4!L92 + UMYr5!L92</f>
        <v>0</v>
      </c>
      <c r="M92" s="31">
        <f>UMYr1!M92 + UMYr2!M92 + UMYr3!M92 + UMYr4!M92 + UMYr5!M92</f>
        <v>0</v>
      </c>
      <c r="N92" s="78">
        <f>UMYr1!N92 + UMYr2!N92 + UMYr3!N92 + UMYr4!N92 + UMYr5!N92</f>
        <v>0</v>
      </c>
    </row>
    <row r="93" spans="1:14" ht="12.95" customHeight="1">
      <c r="A93" s="317" t="str">
        <f>IF(UMYr1!A93 = "","",UMYr1!A93)</f>
        <v/>
      </c>
      <c r="B93" s="690" t="str">
        <f>UMYr1!B93</f>
        <v/>
      </c>
      <c r="C93" s="680" t="str">
        <f>IF(UMYr1!C93="","",UMYr1!C93)</f>
        <v/>
      </c>
      <c r="D93" s="32">
        <f>Sponsor!I96</f>
        <v>0</v>
      </c>
      <c r="E93" s="31">
        <f>UMYr1!E93 + UMYr2!E93 + UMYr3!E93 + UMYr4!E93 + UMYr5!E93</f>
        <v>0</v>
      </c>
      <c r="F93" s="31">
        <f>UMYr1!F93 + UMYr2!F93 + UMYr3!F93 + UMYr4!F93 + UMYr5!F93</f>
        <v>0</v>
      </c>
      <c r="G93" s="31">
        <f>UMYr1!G93 + UMYr2!G93 + UMYr3!G93 + UMYr4!G93 + UMYr5!G93</f>
        <v>0</v>
      </c>
      <c r="H93" s="31">
        <f>UMYr1!H93 + UMYr2!H93 + UMYr3!H93 + UMYr4!H93 + UMYr5!H93</f>
        <v>0</v>
      </c>
      <c r="I93" s="31">
        <f>UMYr1!I93 + UMYr2!I93 + UMYr3!I93 + UMYr4!I93 + UMYr5!I93</f>
        <v>0</v>
      </c>
      <c r="J93" s="32">
        <f>UMYr1!J93 + UMYr2!J93 + UMYr3!J93 + UMYr4!J93 + UMYr5!J93</f>
        <v>0</v>
      </c>
      <c r="K93" s="32">
        <f>UMYr1!K93 + UMYr2!K93 + UMYr3!K93 + UMYr4!K93 + UMYr5!K93</f>
        <v>0</v>
      </c>
      <c r="L93" s="31">
        <f>UMYr1!L93 + UMYr2!L93 + UMYr3!L93 + UMYr4!L93 + UMYr5!L93</f>
        <v>0</v>
      </c>
      <c r="M93" s="31">
        <f>UMYr1!M93 + UMYr2!M93 + UMYr3!M93 + UMYr4!M93 + UMYr5!M93</f>
        <v>0</v>
      </c>
      <c r="N93" s="78">
        <f>UMYr1!N93 + UMYr2!N93 + UMYr3!N93 + UMYr4!N93 + UMYr5!N93</f>
        <v>0</v>
      </c>
    </row>
    <row r="94" spans="1:14" ht="12.95" customHeight="1">
      <c r="A94" s="317" t="str">
        <f>IF(UMYr1!A94 = "","",UMYr1!A94)</f>
        <v/>
      </c>
      <c r="B94" s="690" t="str">
        <f>UMYr1!B94</f>
        <v/>
      </c>
      <c r="C94" s="680" t="str">
        <f>IF(UMYr1!C94="","",UMYr1!C94)</f>
        <v/>
      </c>
      <c r="D94" s="32">
        <f>Sponsor!I97</f>
        <v>0</v>
      </c>
      <c r="E94" s="31">
        <f>UMYr1!E94 + UMYr2!E94 + UMYr3!E94 + UMYr4!E94 + UMYr5!E94</f>
        <v>0</v>
      </c>
      <c r="F94" s="31">
        <f>UMYr1!F94 + UMYr2!F94 + UMYr3!F94 + UMYr4!F94 + UMYr5!F94</f>
        <v>0</v>
      </c>
      <c r="G94" s="31">
        <f>UMYr1!G94 + UMYr2!G94 + UMYr3!G94 + UMYr4!G94 + UMYr5!G94</f>
        <v>0</v>
      </c>
      <c r="H94" s="31">
        <f>UMYr1!H94 + UMYr2!H94 + UMYr3!H94 + UMYr4!H94 + UMYr5!H94</f>
        <v>0</v>
      </c>
      <c r="I94" s="31">
        <f>UMYr1!I94 + UMYr2!I94 + UMYr3!I94 + UMYr4!I94 + UMYr5!I94</f>
        <v>0</v>
      </c>
      <c r="J94" s="32">
        <f>UMYr1!J94 + UMYr2!J94 + UMYr3!J94 + UMYr4!J94 + UMYr5!J94</f>
        <v>0</v>
      </c>
      <c r="K94" s="32">
        <f>UMYr1!K94 + UMYr2!K94 + UMYr3!K94 + UMYr4!K94 + UMYr5!K94</f>
        <v>0</v>
      </c>
      <c r="L94" s="31">
        <f>UMYr1!L94 + UMYr2!L94 + UMYr3!L94 + UMYr4!L94 + UMYr5!L94</f>
        <v>0</v>
      </c>
      <c r="M94" s="31">
        <f>UMYr1!M94 + UMYr2!M94 + UMYr3!M94 + UMYr4!M94 + UMYr5!M94</f>
        <v>0</v>
      </c>
      <c r="N94" s="78">
        <f>UMYr1!N94 + UMYr2!N94 + UMYr3!N94 + UMYr4!N94 + UMYr5!N94</f>
        <v>0</v>
      </c>
    </row>
    <row r="95" spans="1:14" ht="12.95" customHeight="1">
      <c r="A95" s="317" t="str">
        <f>IF(UMYr1!A95 = "","",UMYr1!A95)</f>
        <v/>
      </c>
      <c r="B95" s="690" t="str">
        <f>UMYr1!B95</f>
        <v/>
      </c>
      <c r="C95" s="680" t="str">
        <f>IF(UMYr1!C95="","",UMYr1!C95)</f>
        <v/>
      </c>
      <c r="D95" s="32">
        <f>Sponsor!I98</f>
        <v>0</v>
      </c>
      <c r="E95" s="31">
        <f>UMYr1!E95 + UMYr2!E95 + UMYr3!E95 + UMYr4!E95 + UMYr5!E95</f>
        <v>0</v>
      </c>
      <c r="F95" s="31">
        <f>UMYr1!F95 + UMYr2!F95 + UMYr3!F95 + UMYr4!F95 + UMYr5!F95</f>
        <v>0</v>
      </c>
      <c r="G95" s="31">
        <f>UMYr1!G95 + UMYr2!G95 + UMYr3!G95 + UMYr4!G95 + UMYr5!G95</f>
        <v>0</v>
      </c>
      <c r="H95" s="31">
        <f>UMYr1!H95 + UMYr2!H95 + UMYr3!H95 + UMYr4!H95 + UMYr5!H95</f>
        <v>0</v>
      </c>
      <c r="I95" s="31">
        <f>UMYr1!I95 + UMYr2!I95 + UMYr3!I95 + UMYr4!I95 + UMYr5!I95</f>
        <v>0</v>
      </c>
      <c r="J95" s="32">
        <f>UMYr1!J95 + UMYr2!J95 + UMYr3!J95 + UMYr4!J95 + UMYr5!J95</f>
        <v>0</v>
      </c>
      <c r="K95" s="32">
        <f>UMYr1!K95 + UMYr2!K95 + UMYr3!K95 + UMYr4!K95 + UMYr5!K95</f>
        <v>0</v>
      </c>
      <c r="L95" s="31">
        <f>UMYr1!L95 + UMYr2!L95 + UMYr3!L95 + UMYr4!L95 + UMYr5!L95</f>
        <v>0</v>
      </c>
      <c r="M95" s="31">
        <f>UMYr1!M95 + UMYr2!M95 + UMYr3!M95 + UMYr4!M95 + UMYr5!M95</f>
        <v>0</v>
      </c>
      <c r="N95" s="78">
        <f>UMYr1!N95 + UMYr2!N95 + UMYr3!N95 + UMYr4!N95 + UMYr5!N95</f>
        <v>0</v>
      </c>
    </row>
    <row r="96" spans="1:14" ht="12.95" customHeight="1">
      <c r="A96" s="317" t="str">
        <f>IF(UMYr1!A96 = "","",UMYr1!A96)</f>
        <v/>
      </c>
      <c r="B96" s="690" t="str">
        <f>UMYr1!B96</f>
        <v/>
      </c>
      <c r="C96" s="680" t="str">
        <f>IF(UMYr1!C96="","",UMYr1!C96)</f>
        <v/>
      </c>
      <c r="D96" s="32">
        <f>Sponsor!I99</f>
        <v>0</v>
      </c>
      <c r="E96" s="31">
        <f>UMYr1!E96 + UMYr2!E96 + UMYr3!E96 + UMYr4!E96 + UMYr5!E96</f>
        <v>0</v>
      </c>
      <c r="F96" s="31">
        <f>UMYr1!F96 + UMYr2!F96 + UMYr3!F96 + UMYr4!F96 + UMYr5!F96</f>
        <v>0</v>
      </c>
      <c r="G96" s="31">
        <f>UMYr1!G96 + UMYr2!G96 + UMYr3!G96 + UMYr4!G96 + UMYr5!G96</f>
        <v>0</v>
      </c>
      <c r="H96" s="31">
        <f>UMYr1!H96 + UMYr2!H96 + UMYr3!H96 + UMYr4!H96 + UMYr5!H96</f>
        <v>0</v>
      </c>
      <c r="I96" s="31">
        <f>UMYr1!I96 + UMYr2!I96 + UMYr3!I96 + UMYr4!I96 + UMYr5!I96</f>
        <v>0</v>
      </c>
      <c r="J96" s="32">
        <f>UMYr1!J96 + UMYr2!J96 + UMYr3!J96 + UMYr4!J96 + UMYr5!J96</f>
        <v>0</v>
      </c>
      <c r="K96" s="32">
        <f>UMYr1!K96 + UMYr2!K96 + UMYr3!K96 + UMYr4!K96 + UMYr5!K96</f>
        <v>0</v>
      </c>
      <c r="L96" s="31">
        <f>UMYr1!L96 + UMYr2!L96 + UMYr3!L96 + UMYr4!L96 + UMYr5!L96</f>
        <v>0</v>
      </c>
      <c r="M96" s="31">
        <f>UMYr1!M96 + UMYr2!M96 + UMYr3!M96 + UMYr4!M96 + UMYr5!M96</f>
        <v>0</v>
      </c>
      <c r="N96" s="78">
        <f>UMYr1!N96 + UMYr2!N96 + UMYr3!N96 + UMYr4!N96 + UMYr5!N96</f>
        <v>0</v>
      </c>
    </row>
    <row r="97" spans="1:14" ht="12.95" customHeight="1">
      <c r="A97" s="317" t="str">
        <f>IF(UMYr1!A97 = "","",UMYr1!A97)</f>
        <v/>
      </c>
      <c r="B97" s="690" t="str">
        <f>UMYr1!B97</f>
        <v/>
      </c>
      <c r="C97" s="680" t="str">
        <f>IF(UMYr1!C97="","",UMYr1!C97)</f>
        <v/>
      </c>
      <c r="D97" s="32">
        <f>Sponsor!I100</f>
        <v>0</v>
      </c>
      <c r="E97" s="31">
        <f>UMYr1!E97 + UMYr2!E97 + UMYr3!E97 + UMYr4!E97 + UMYr5!E97</f>
        <v>0</v>
      </c>
      <c r="F97" s="31">
        <f>UMYr1!F97 + UMYr2!F97 + UMYr3!F97 + UMYr4!F97 + UMYr5!F97</f>
        <v>0</v>
      </c>
      <c r="G97" s="31">
        <f>UMYr1!G97 + UMYr2!G97 + UMYr3!G97 + UMYr4!G97 + UMYr5!G97</f>
        <v>0</v>
      </c>
      <c r="H97" s="31">
        <f>UMYr1!H97 + UMYr2!H97 + UMYr3!H97 + UMYr4!H97 + UMYr5!H97</f>
        <v>0</v>
      </c>
      <c r="I97" s="31">
        <f>UMYr1!I97 + UMYr2!I97 + UMYr3!I97 + UMYr4!I97 + UMYr5!I97</f>
        <v>0</v>
      </c>
      <c r="J97" s="32">
        <f>UMYr1!J97 + UMYr2!J97 + UMYr3!J97 + UMYr4!J97 + UMYr5!J97</f>
        <v>0</v>
      </c>
      <c r="K97" s="32">
        <f>UMYr1!K97 + UMYr2!K97 + UMYr3!K97 + UMYr4!K97 + UMYr5!K97</f>
        <v>0</v>
      </c>
      <c r="L97" s="31">
        <f>UMYr1!L97 + UMYr2!L97 + UMYr3!L97 + UMYr4!L97 + UMYr5!L97</f>
        <v>0</v>
      </c>
      <c r="M97" s="31">
        <f>UMYr1!M97 + UMYr2!M97 + UMYr3!M97 + UMYr4!M97 + UMYr5!M97</f>
        <v>0</v>
      </c>
      <c r="N97" s="78">
        <f>UMYr1!N97 + UMYr2!N97 + UMYr3!N97 + UMYr4!N97 + UMYr5!N97</f>
        <v>0</v>
      </c>
    </row>
    <row r="98" spans="1:14" ht="12.95" customHeight="1">
      <c r="A98" s="317" t="str">
        <f>IF(UMYr1!A98 = "","",UMYr1!A98)</f>
        <v/>
      </c>
      <c r="B98" s="690" t="str">
        <f>UMYr1!B98</f>
        <v/>
      </c>
      <c r="C98" s="680" t="str">
        <f>IF(UMYr1!C98="","",UMYr1!C98)</f>
        <v/>
      </c>
      <c r="D98" s="32">
        <f>Sponsor!I101</f>
        <v>0</v>
      </c>
      <c r="E98" s="31">
        <f>UMYr1!E98 + UMYr2!E98 + UMYr3!E98 + UMYr4!E98 + UMYr5!E98</f>
        <v>0</v>
      </c>
      <c r="F98" s="31">
        <f>UMYr1!F98 + UMYr2!F98 + UMYr3!F98 + UMYr4!F98 + UMYr5!F98</f>
        <v>0</v>
      </c>
      <c r="G98" s="31">
        <f>UMYr1!G98 + UMYr2!G98 + UMYr3!G98 + UMYr4!G98 + UMYr5!G98</f>
        <v>0</v>
      </c>
      <c r="H98" s="31">
        <f>UMYr1!H98 + UMYr2!H98 + UMYr3!H98 + UMYr4!H98 + UMYr5!H98</f>
        <v>0</v>
      </c>
      <c r="I98" s="31">
        <f>UMYr1!I98 + UMYr2!I98 + UMYr3!I98 + UMYr4!I98 + UMYr5!I98</f>
        <v>0</v>
      </c>
      <c r="J98" s="32">
        <f>UMYr1!J98 + UMYr2!J98 + UMYr3!J98 + UMYr4!J98 + UMYr5!J98</f>
        <v>0</v>
      </c>
      <c r="K98" s="32">
        <f>UMYr1!K98 + UMYr2!K98 + UMYr3!K98 + UMYr4!K98 + UMYr5!K98</f>
        <v>0</v>
      </c>
      <c r="L98" s="31">
        <f>UMYr1!L98 + UMYr2!L98 + UMYr3!L98 + UMYr4!L98 + UMYr5!L98</f>
        <v>0</v>
      </c>
      <c r="M98" s="31">
        <f>UMYr1!M98 + UMYr2!M98 + UMYr3!M98 + UMYr4!M98 + UMYr5!M98</f>
        <v>0</v>
      </c>
      <c r="N98" s="78">
        <f>UMYr1!N98 + UMYr2!N98 + UMYr3!N98 + UMYr4!N98 + UMYr5!N98</f>
        <v>0</v>
      </c>
    </row>
    <row r="99" spans="1:14" ht="12.95" customHeight="1">
      <c r="A99" s="317" t="str">
        <f>IF(UMYr1!A99 = "","",UMYr1!A99)</f>
        <v/>
      </c>
      <c r="B99" s="690" t="str">
        <f>UMYr1!B99</f>
        <v/>
      </c>
      <c r="C99" s="680" t="str">
        <f>IF(UMYr1!C99="","",UMYr1!C99)</f>
        <v/>
      </c>
      <c r="D99" s="32">
        <f>Sponsor!I102</f>
        <v>0</v>
      </c>
      <c r="E99" s="31">
        <f>UMYr1!E99 + UMYr2!E99 + UMYr3!E99 + UMYr4!E99 + UMYr5!E99</f>
        <v>0</v>
      </c>
      <c r="F99" s="31">
        <f>UMYr1!F99 + UMYr2!F99 + UMYr3!F99 + UMYr4!F99 + UMYr5!F99</f>
        <v>0</v>
      </c>
      <c r="G99" s="31">
        <f>UMYr1!G99 + UMYr2!G99 + UMYr3!G99 + UMYr4!G99 + UMYr5!G99</f>
        <v>0</v>
      </c>
      <c r="H99" s="31">
        <f>UMYr1!H99 + UMYr2!H99 + UMYr3!H99 + UMYr4!H99 + UMYr5!H99</f>
        <v>0</v>
      </c>
      <c r="I99" s="31">
        <f>UMYr1!I99 + UMYr2!I99 + UMYr3!I99 + UMYr4!I99 + UMYr5!I99</f>
        <v>0</v>
      </c>
      <c r="J99" s="32">
        <f>UMYr1!J99 + UMYr2!J99 + UMYr3!J99 + UMYr4!J99 + UMYr5!J99</f>
        <v>0</v>
      </c>
      <c r="K99" s="32">
        <f>UMYr1!K99 + UMYr2!K99 + UMYr3!K99 + UMYr4!K99 + UMYr5!K99</f>
        <v>0</v>
      </c>
      <c r="L99" s="31">
        <f>UMYr1!L99 + UMYr2!L99 + UMYr3!L99 + UMYr4!L99 + UMYr5!L99</f>
        <v>0</v>
      </c>
      <c r="M99" s="31">
        <f>UMYr1!M99 + UMYr2!M99 + UMYr3!M99 + UMYr4!M99 + UMYr5!M99</f>
        <v>0</v>
      </c>
      <c r="N99" s="78">
        <f>UMYr1!N99 + UMYr2!N99 + UMYr3!N99 + UMYr4!N99 + UMYr5!N99</f>
        <v>0</v>
      </c>
    </row>
    <row r="100" spans="1:14" ht="12.95" customHeight="1">
      <c r="A100" s="317" t="str">
        <f>IF(UMYr1!A100 = "","",UMYr1!A100)</f>
        <v/>
      </c>
      <c r="B100" s="690" t="str">
        <f>UMYr1!B100</f>
        <v/>
      </c>
      <c r="C100" s="680" t="str">
        <f>IF(UMYr1!C100="","",UMYr1!C100)</f>
        <v/>
      </c>
      <c r="D100" s="32">
        <f>Sponsor!I103</f>
        <v>0</v>
      </c>
      <c r="E100" s="31">
        <f>UMYr1!E100 + UMYr2!E100 + UMYr3!E100 + UMYr4!E100 + UMYr5!E100</f>
        <v>0</v>
      </c>
      <c r="F100" s="31">
        <f>UMYr1!F100 + UMYr2!F100 + UMYr3!F100 + UMYr4!F100 + UMYr5!F100</f>
        <v>0</v>
      </c>
      <c r="G100" s="31">
        <f>UMYr1!G100 + UMYr2!G100 + UMYr3!G100 + UMYr4!G100 + UMYr5!G100</f>
        <v>0</v>
      </c>
      <c r="H100" s="31">
        <f>UMYr1!H100 + UMYr2!H100 + UMYr3!H100 + UMYr4!H100 + UMYr5!H100</f>
        <v>0</v>
      </c>
      <c r="I100" s="31">
        <f>UMYr1!I100 + UMYr2!I100 + UMYr3!I100 + UMYr4!I100 + UMYr5!I100</f>
        <v>0</v>
      </c>
      <c r="J100" s="32">
        <f>UMYr1!J100 + UMYr2!J100 + UMYr3!J100 + UMYr4!J100 + UMYr5!J100</f>
        <v>0</v>
      </c>
      <c r="K100" s="32">
        <f>UMYr1!K100 + UMYr2!K100 + UMYr3!K100 + UMYr4!K100 + UMYr5!K100</f>
        <v>0</v>
      </c>
      <c r="L100" s="31">
        <f>UMYr1!L100 + UMYr2!L100 + UMYr3!L100 + UMYr4!L100 + UMYr5!L100</f>
        <v>0</v>
      </c>
      <c r="M100" s="31">
        <f>UMYr1!M100 + UMYr2!M100 + UMYr3!M100 + UMYr4!M100 + UMYr5!M100</f>
        <v>0</v>
      </c>
      <c r="N100" s="78">
        <f>UMYr1!N100 + UMYr2!N100 + UMYr3!N100 + UMYr4!N100 + UMYr5!N100</f>
        <v>0</v>
      </c>
    </row>
    <row r="101" spans="1:14" ht="12.95" customHeight="1">
      <c r="A101" s="317" t="str">
        <f>IF(UMYr1!A101 = "","",UMYr1!A101)</f>
        <v/>
      </c>
      <c r="B101" s="690" t="str">
        <f>UMYr1!B101</f>
        <v/>
      </c>
      <c r="C101" s="680" t="str">
        <f>IF(UMYr1!C101="","",UMYr1!C101)</f>
        <v/>
      </c>
      <c r="D101" s="32">
        <f>Sponsor!I104</f>
        <v>0</v>
      </c>
      <c r="E101" s="31">
        <f>UMYr1!E101 + UMYr2!E101 + UMYr3!E101 + UMYr4!E101 + UMYr5!E101</f>
        <v>0</v>
      </c>
      <c r="F101" s="31">
        <f>UMYr1!F101 + UMYr2!F101 + UMYr3!F101 + UMYr4!F101 + UMYr5!F101</f>
        <v>0</v>
      </c>
      <c r="G101" s="31">
        <f>UMYr1!G101 + UMYr2!G101 + UMYr3!G101 + UMYr4!G101 + UMYr5!G101</f>
        <v>0</v>
      </c>
      <c r="H101" s="31">
        <f>UMYr1!H101 + UMYr2!H101 + UMYr3!H101 + UMYr4!H101 + UMYr5!H101</f>
        <v>0</v>
      </c>
      <c r="I101" s="31">
        <f>UMYr1!I101 + UMYr2!I101 + UMYr3!I101 + UMYr4!I101 + UMYr5!I101</f>
        <v>0</v>
      </c>
      <c r="J101" s="41">
        <f>UMYr1!J101 + UMYr2!J101 + UMYr3!J101 + UMYr4!J101 + UMYr5!J101</f>
        <v>0</v>
      </c>
      <c r="K101" s="32">
        <f>UMYr1!K101 + UMYr2!K101 + UMYr3!K101 + UMYr4!K101 + UMYr5!K101</f>
        <v>0</v>
      </c>
      <c r="L101" s="31">
        <f>UMYr1!L101 + UMYr2!L101 + UMYr3!L101 + UMYr4!L101 + UMYr5!L101</f>
        <v>0</v>
      </c>
      <c r="M101" s="31">
        <f>UMYr1!M101 + UMYr2!M101 + UMYr3!M101 + UMYr4!M101 + UMYr5!M101</f>
        <v>0</v>
      </c>
      <c r="N101" s="94">
        <f>UMYr1!N101 + UMYr2!N101 + UMYr3!N101 + UMYr4!N101 + UMYr5!N101</f>
        <v>0</v>
      </c>
    </row>
    <row r="102" spans="1:14" ht="12.95" customHeight="1" thickBot="1">
      <c r="A102" s="317" t="str">
        <f>IF(UMYr1!A102 = "","",UMYr1!A102)</f>
        <v/>
      </c>
      <c r="B102" s="749" t="s">
        <v>672</v>
      </c>
      <c r="C102" s="777"/>
      <c r="D102" s="671">
        <f>Sponsor!I105</f>
        <v>0</v>
      </c>
      <c r="E102" s="60">
        <f>UMYr1!E102 + UMYr2!E102 + UMYr3!E102 + UMYr4!E102 + UMYr5!E102</f>
        <v>0</v>
      </c>
      <c r="F102" s="60">
        <f>UMYr1!F102 + UMYr2!F102 + UMYr3!F102 + UMYr4!F102 + UMYr5!F102</f>
        <v>0</v>
      </c>
      <c r="G102" s="60">
        <f>UMYr1!G102 + UMYr2!G102 + UMYr3!G102 + UMYr4!G102 + UMYr5!G102</f>
        <v>0</v>
      </c>
      <c r="H102" s="60">
        <f>UMYr1!H102 + UMYr2!H102 + UMYr3!H102 + UMYr4!H102 + UMYr5!H102</f>
        <v>0</v>
      </c>
      <c r="I102" s="60">
        <f>UMYr1!I102 + UMYr2!I102 + UMYr3!I102 + UMYr4!I102 + UMYr5!I102</f>
        <v>0</v>
      </c>
      <c r="J102" s="671">
        <f>UMYr1!J102 + UMYr2!J102 + UMYr3!J102 + UMYr4!J102 + UMYr5!J102</f>
        <v>0</v>
      </c>
      <c r="K102" s="61">
        <f>UMYr1!K102 + UMYr2!K102 + UMYr3!K102 + UMYr4!K102 + UMYr5!K102</f>
        <v>0</v>
      </c>
      <c r="L102" s="60">
        <f>UMYr1!L102 + UMYr2!L102 + UMYr3!L102 + UMYr4!L102 + UMYr5!L102</f>
        <v>0</v>
      </c>
      <c r="M102" s="60">
        <f>UMYr1!M102 + UMYr2!M102 + UMYr3!M102 + UMYr4!M102 + UMYr5!M102</f>
        <v>0</v>
      </c>
      <c r="N102" s="175">
        <f>UMYr1!N102 + UMYr2!N102 + UMYr3!N102 + UMYr4!N102 + UMYr5!N102</f>
        <v>0</v>
      </c>
    </row>
    <row r="103" spans="1:14" ht="12.95" customHeight="1">
      <c r="A103" s="317" t="str">
        <f>IF(UMYr1!A103 = "","",UMYr1!A103)</f>
        <v/>
      </c>
      <c r="B103" s="74" t="s">
        <v>700</v>
      </c>
      <c r="C103" s="335"/>
      <c r="D103" s="335"/>
      <c r="E103" s="335"/>
      <c r="F103" s="335"/>
      <c r="G103" s="335"/>
      <c r="H103" s="335"/>
      <c r="I103" s="335"/>
      <c r="J103" s="335"/>
      <c r="K103" s="335"/>
      <c r="L103" s="335"/>
      <c r="M103" s="335"/>
      <c r="N103" s="336"/>
    </row>
    <row r="104" spans="1:14" ht="12.95" customHeight="1">
      <c r="A104" s="317" t="str">
        <f>IF(UMYr1!A104 = "","",UMYr1!A104)</f>
        <v/>
      </c>
      <c r="B104" s="690" t="str">
        <f>UMYr1!B104</f>
        <v/>
      </c>
      <c r="C104" s="680" t="str">
        <f>IF(UMYr1!C104="","",UMYr1!C104)</f>
        <v/>
      </c>
      <c r="D104" s="25">
        <f>Sponsor!I107</f>
        <v>0</v>
      </c>
      <c r="E104" s="23">
        <f>UMYr1!E104 + UMYr2!E104 + UMYr3!E104 + UMYr4!E104 + UMYr5!E104</f>
        <v>0</v>
      </c>
      <c r="F104" s="23">
        <f>UMYr1!F104 + UMYr2!F104 + UMYr3!F104 + UMYr4!F104 + UMYr5!F104</f>
        <v>0</v>
      </c>
      <c r="G104" s="23">
        <f>UMYr1!G104 + UMYr2!G104 + UMYr3!G104 + UMYr4!G104 + UMYr5!G104</f>
        <v>0</v>
      </c>
      <c r="H104" s="23">
        <f>UMYr1!H104 + UMYr2!H104 + UMYr3!H104 + UMYr4!H104 + UMYr5!H104</f>
        <v>0</v>
      </c>
      <c r="I104" s="23">
        <f>UMYr1!I104 + UMYr2!I104 + UMYr3!I104 + UMYr4!I104 + UMYr5!I104</f>
        <v>0</v>
      </c>
      <c r="J104" s="24">
        <f>UMYr1!J104 + UMYr2!J104 + UMYr3!J104 + UMYr4!J104 + UMYr5!J104</f>
        <v>0</v>
      </c>
      <c r="K104" s="32">
        <f>UMYr1!K104 + UMYr2!K104 + UMYr3!K104 + UMYr4!K104 + UMYr5!K104</f>
        <v>0</v>
      </c>
      <c r="L104" s="62">
        <f>UMYr1!L104 + UMYr2!L104 + UMYr3!L104 + UMYr4!L104 + UMYr5!L104</f>
        <v>0</v>
      </c>
      <c r="M104" s="40">
        <f>UMYr1!M104 + UMYr2!M104 + UMYr3!M104 + UMYr4!M104 + UMYr5!M104</f>
        <v>0</v>
      </c>
      <c r="N104" s="175">
        <f>UMYr1!N104 + UMYr2!N104 + UMYr3!N104 + UMYr4!N104 + UMYr5!N104</f>
        <v>0</v>
      </c>
    </row>
    <row r="105" spans="1:14" ht="12.95" customHeight="1">
      <c r="A105" s="317" t="str">
        <f>IF(UMYr1!A105 = "","",UMYr1!A105)</f>
        <v/>
      </c>
      <c r="B105" s="690" t="str">
        <f>UMYr1!B105</f>
        <v/>
      </c>
      <c r="C105" s="680" t="str">
        <f>IF(UMYr1!C105="","",UMYr1!C105)</f>
        <v/>
      </c>
      <c r="D105" s="25">
        <f>Sponsor!I108</f>
        <v>0</v>
      </c>
      <c r="E105" s="23">
        <f>UMYr1!E105 + UMYr2!E105 + UMYr3!E105 + UMYr4!E105 + UMYr5!E105</f>
        <v>0</v>
      </c>
      <c r="F105" s="23">
        <f>UMYr1!F105 + UMYr2!F105 + UMYr3!F105 + UMYr4!F105 + UMYr5!F105</f>
        <v>0</v>
      </c>
      <c r="G105" s="23">
        <f>UMYr1!G105 + UMYr2!G105 + UMYr3!G105 + UMYr4!G105 + UMYr5!G105</f>
        <v>0</v>
      </c>
      <c r="H105" s="23">
        <f>UMYr1!H105 + UMYr2!H105 + UMYr3!H105 + UMYr4!H105 + UMYr5!H105</f>
        <v>0</v>
      </c>
      <c r="I105" s="23">
        <f>UMYr1!I105 + UMYr2!I105 + UMYr3!I105 + UMYr4!I105 + UMYr5!I105</f>
        <v>0</v>
      </c>
      <c r="J105" s="25">
        <f>UMYr1!J105 + UMYr2!J105 + UMYr3!J105 + UMYr4!J105 + UMYr5!J105</f>
        <v>0</v>
      </c>
      <c r="K105" s="32">
        <f>UMYr1!K105 + UMYr2!K105 + UMYr3!K105 + UMYr4!K105 + UMYr5!K105</f>
        <v>0</v>
      </c>
      <c r="L105" s="33">
        <f>UMYr1!L105 + UMYr2!L105 + UMYr3!L105 + UMYr4!L105 + UMYr5!L105</f>
        <v>0</v>
      </c>
      <c r="M105" s="23">
        <f>UMYr1!M105 + UMYr2!M105 + UMYr3!M105 + UMYr4!M105 + UMYr5!M105</f>
        <v>0</v>
      </c>
      <c r="N105" s="173">
        <f>UMYr1!N105 + UMYr2!N105 + UMYr3!N105 + UMYr4!N105 + UMYr5!N105</f>
        <v>0</v>
      </c>
    </row>
    <row r="106" spans="1:14" ht="12.95" customHeight="1">
      <c r="A106" s="317" t="str">
        <f>IF(UMYr1!A106 = "","",UMYr1!A106)</f>
        <v/>
      </c>
      <c r="B106" s="690" t="str">
        <f>UMYr1!B106</f>
        <v/>
      </c>
      <c r="C106" s="680" t="str">
        <f>IF(UMYr1!C106="","",UMYr1!C106)</f>
        <v/>
      </c>
      <c r="D106" s="25">
        <f>Sponsor!I109</f>
        <v>0</v>
      </c>
      <c r="E106" s="23">
        <f>UMYr1!E106 + UMYr2!E106 + UMYr3!E106 + UMYr4!E106 + UMYr5!E106</f>
        <v>0</v>
      </c>
      <c r="F106" s="23">
        <f>UMYr1!F106 + UMYr2!F106 + UMYr3!F106 + UMYr4!F106 + UMYr5!F106</f>
        <v>0</v>
      </c>
      <c r="G106" s="23">
        <f>UMYr1!G106 + UMYr2!G106 + UMYr3!G106 + UMYr4!G106 + UMYr5!G106</f>
        <v>0</v>
      </c>
      <c r="H106" s="23">
        <f>UMYr1!H106 + UMYr2!H106 + UMYr3!H106 + UMYr4!H106 + UMYr5!H106</f>
        <v>0</v>
      </c>
      <c r="I106" s="23">
        <f>UMYr1!I106 + UMYr2!I106 + UMYr3!I106 + UMYr4!I106 + UMYr5!I106</f>
        <v>0</v>
      </c>
      <c r="J106" s="25">
        <f>UMYr1!J106 + UMYr2!J106 + UMYr3!J106 + UMYr4!J106 + UMYr5!J106</f>
        <v>0</v>
      </c>
      <c r="K106" s="32">
        <f>UMYr1!K106 + UMYr2!K106 + UMYr3!K106 + UMYr4!K106 + UMYr5!K106</f>
        <v>0</v>
      </c>
      <c r="L106" s="33">
        <f>UMYr1!L106 + UMYr2!L106 + UMYr3!L106 + UMYr4!L106 + UMYr5!L106</f>
        <v>0</v>
      </c>
      <c r="M106" s="23">
        <f>UMYr1!M106 + UMYr2!M106 + UMYr3!M106 + UMYr4!M106 + UMYr5!M106</f>
        <v>0</v>
      </c>
      <c r="N106" s="173">
        <f>UMYr1!N106 + UMYr2!N106 + UMYr3!N106 + UMYr4!N106 + UMYr5!N106</f>
        <v>0</v>
      </c>
    </row>
    <row r="107" spans="1:14" ht="12.95" customHeight="1">
      <c r="A107" s="317" t="str">
        <f>IF(UMYr1!A107 = "","",UMYr1!A107)</f>
        <v/>
      </c>
      <c r="B107" s="690" t="str">
        <f>UMYr1!B107</f>
        <v/>
      </c>
      <c r="C107" s="680" t="str">
        <f>IF(UMYr1!C107="","",UMYr1!C107)</f>
        <v/>
      </c>
      <c r="D107" s="25">
        <f>Sponsor!I110</f>
        <v>0</v>
      </c>
      <c r="E107" s="23">
        <f>UMYr1!E107 + UMYr2!E107 + UMYr3!E107 + UMYr4!E107 + UMYr5!E107</f>
        <v>0</v>
      </c>
      <c r="F107" s="23">
        <f>UMYr1!F107 + UMYr2!F107 + UMYr3!F107 + UMYr4!F107 + UMYr5!F107</f>
        <v>0</v>
      </c>
      <c r="G107" s="23">
        <f>UMYr1!G107 + UMYr2!G107 + UMYr3!G107 + UMYr4!G107 + UMYr5!G107</f>
        <v>0</v>
      </c>
      <c r="H107" s="23">
        <f>UMYr1!H107 + UMYr2!H107 + UMYr3!H107 + UMYr4!H107 + UMYr5!H107</f>
        <v>0</v>
      </c>
      <c r="I107" s="23">
        <f>UMYr1!I107 + UMYr2!I107 + UMYr3!I107 + UMYr4!I107 + UMYr5!I107</f>
        <v>0</v>
      </c>
      <c r="J107" s="25">
        <f>UMYr1!J107 + UMYr2!J107 + UMYr3!J107 + UMYr4!J107 + UMYr5!J107</f>
        <v>0</v>
      </c>
      <c r="K107" s="32">
        <f>UMYr1!K107 + UMYr2!K107 + UMYr3!K107 + UMYr4!K107 + UMYr5!K107</f>
        <v>0</v>
      </c>
      <c r="L107" s="33">
        <f>UMYr1!L107 + UMYr2!L107 + UMYr3!L107 + UMYr4!L107 + UMYr5!L107</f>
        <v>0</v>
      </c>
      <c r="M107" s="23">
        <f>UMYr1!M107 + UMYr2!M107 + UMYr3!M107 + UMYr4!M107 + UMYr5!M107</f>
        <v>0</v>
      </c>
      <c r="N107" s="173">
        <f>UMYr1!N107 + UMYr2!N107 + UMYr3!N107 + UMYr4!N107 + UMYr5!N107</f>
        <v>0</v>
      </c>
    </row>
    <row r="108" spans="1:14" ht="12.95" customHeight="1">
      <c r="A108" s="317" t="str">
        <f>IF(UMYr1!A108 = "","",UMYr1!A108)</f>
        <v/>
      </c>
      <c r="B108" s="690" t="str">
        <f>UMYr1!B108</f>
        <v/>
      </c>
      <c r="C108" s="680" t="str">
        <f>IF(UMYr1!C108="","",UMYr1!C108)</f>
        <v/>
      </c>
      <c r="D108" s="25">
        <f>Sponsor!I111</f>
        <v>0</v>
      </c>
      <c r="E108" s="23">
        <f>UMYr1!E108 + UMYr2!E108 + UMYr3!E108 + UMYr4!E108 + UMYr5!E108</f>
        <v>0</v>
      </c>
      <c r="F108" s="23">
        <f>UMYr1!F108 + UMYr2!F108 + UMYr3!F108 + UMYr4!F108 + UMYr5!F108</f>
        <v>0</v>
      </c>
      <c r="G108" s="23">
        <f>UMYr1!G108 + UMYr2!G108 + UMYr3!G108 + UMYr4!G108 + UMYr5!G108</f>
        <v>0</v>
      </c>
      <c r="H108" s="23">
        <f>UMYr1!H108 + UMYr2!H108 + UMYr3!H108 + UMYr4!H108 + UMYr5!H108</f>
        <v>0</v>
      </c>
      <c r="I108" s="23">
        <f>UMYr1!I108 + UMYr2!I108 + UMYr3!I108 + UMYr4!I108 + UMYr5!I108</f>
        <v>0</v>
      </c>
      <c r="J108" s="25">
        <f>UMYr1!J108 + UMYr2!J108 + UMYr3!J108 + UMYr4!J108 + UMYr5!J108</f>
        <v>0</v>
      </c>
      <c r="K108" s="32">
        <f>UMYr1!K108 + UMYr2!K108 + UMYr3!K108 + UMYr4!K108 + UMYr5!K108</f>
        <v>0</v>
      </c>
      <c r="L108" s="33">
        <f>UMYr1!L108 + UMYr2!L108 + UMYr3!L108 + UMYr4!L108 + UMYr5!L108</f>
        <v>0</v>
      </c>
      <c r="M108" s="23">
        <f>UMYr1!M108 + UMYr2!M108 + UMYr3!M108 + UMYr4!M108 + UMYr5!M108</f>
        <v>0</v>
      </c>
      <c r="N108" s="173">
        <f>UMYr1!N108 + UMYr2!N108 + UMYr3!N108 + UMYr4!N108 + UMYr5!N108</f>
        <v>0</v>
      </c>
    </row>
    <row r="109" spans="1:14" ht="12.95" customHeight="1" thickBot="1">
      <c r="A109" s="317" t="str">
        <f>IF(UMYr1!A109 = "","",UMYr1!A109)</f>
        <v/>
      </c>
      <c r="B109" s="749" t="s">
        <v>580</v>
      </c>
      <c r="C109" s="777"/>
      <c r="D109" s="671">
        <f>Sponsor!I112</f>
        <v>0</v>
      </c>
      <c r="E109" s="60">
        <f>UMYr1!E109 + UMYr2!E109 + UMYr3!E109 + UMYr4!E109 + UMYr5!E109</f>
        <v>0</v>
      </c>
      <c r="F109" s="60">
        <f>UMYr1!F109 + UMYr2!F109 + UMYr3!F109 + UMYr4!F109 + UMYr5!F109</f>
        <v>0</v>
      </c>
      <c r="G109" s="60">
        <f>UMYr1!G109 + UMYr2!G109 + UMYr3!G109 + UMYr4!G109 + UMYr5!G109</f>
        <v>0</v>
      </c>
      <c r="H109" s="60">
        <f>UMYr1!H109 + UMYr2!H109 + UMYr3!H109 + UMYr4!H109 + UMYr5!H109</f>
        <v>0</v>
      </c>
      <c r="I109" s="60">
        <f>UMYr1!I109 + UMYr2!I109 + UMYr3!I109 + UMYr4!I109 + UMYr5!I109</f>
        <v>0</v>
      </c>
      <c r="J109" s="71">
        <f>UMYr1!J109 + UMYr2!J109 + UMYr3!J109 + UMYr4!J109 + UMYr5!J109</f>
        <v>0</v>
      </c>
      <c r="K109" s="71">
        <f>UMYr1!K109 + UMYr2!K109 + UMYr3!K109 + UMYr4!K109 + UMYr5!K109</f>
        <v>0</v>
      </c>
      <c r="L109" s="60">
        <f>UMYr1!L109 + UMYr2!L109 + UMYr3!L109 + UMYr4!L109 + UMYr5!L109</f>
        <v>0</v>
      </c>
      <c r="M109" s="60">
        <f>UMYr1!M109 + UMYr2!M109 + UMYr3!M109 + UMYr4!M109 + UMYr5!M109</f>
        <v>0</v>
      </c>
      <c r="N109" s="180">
        <f>UMYr1!N109 + UMYr2!N109 + UMYr3!N109 + UMYr4!N109 + UMYr5!N109</f>
        <v>0</v>
      </c>
    </row>
    <row r="110" spans="1:14">
      <c r="A110" s="223" t="str">
        <f>IF(UMYr1!A110 = "","",UMYr1!A110)</f>
        <v/>
      </c>
      <c r="B110" s="980" t="s">
        <v>695</v>
      </c>
      <c r="C110" s="948"/>
      <c r="D110" s="948"/>
      <c r="E110" s="948"/>
      <c r="F110" s="948"/>
      <c r="G110" s="948"/>
      <c r="H110" s="948"/>
      <c r="I110" s="948"/>
      <c r="J110" s="1064"/>
      <c r="K110" s="1064"/>
      <c r="L110" s="1064"/>
      <c r="M110" s="1064"/>
      <c r="N110" s="1065"/>
    </row>
    <row r="111" spans="1:14">
      <c r="A111" s="223">
        <f>IF(Sponsor!A115 = "","",Sponsor!A115)</f>
        <v>60900</v>
      </c>
      <c r="B111" s="339" t="str">
        <f>IF(Sponsor!B115="","",Sponsor!B115)</f>
        <v/>
      </c>
      <c r="C111" s="139" t="str">
        <f>IF(Sponsor!C115="","",Sponsor!C115)</f>
        <v>Publications</v>
      </c>
      <c r="D111" s="105">
        <f>Sponsor!I115</f>
        <v>0</v>
      </c>
      <c r="E111" s="112">
        <f>UMYr1!E111 + UMYr2!E111 + UMYr3!E111 + UMYr4!E111 + UMYr5!E111</f>
        <v>0</v>
      </c>
      <c r="F111" s="112">
        <f>UMYr1!F111 + UMYr2!F111 + UMYr3!F111 + UMYr4!F111 + UMYr5!F111</f>
        <v>0</v>
      </c>
      <c r="G111" s="112">
        <f>UMYr1!G111 + UMYr2!G111 + UMYr3!G111 + UMYr4!G111 + UMYr5!G111</f>
        <v>0</v>
      </c>
      <c r="H111" s="112">
        <f>UMYr1!H111 + UMYr2!H111 + UMYr3!H111 + UMYr4!H111 + UMYr5!H111</f>
        <v>0</v>
      </c>
      <c r="I111" s="119">
        <f>UMYr1!I111 + UMYr2!I111 + UMYr3!I111 + UMYr4!I111 + UMYr5!I111</f>
        <v>0</v>
      </c>
      <c r="J111" s="30">
        <f>UMYr1!J111 + UMYr2!J111 + UMYr3!J111 + UMYr4!J111 + UMYr5!J111</f>
        <v>0</v>
      </c>
      <c r="K111" s="32">
        <f>UMYr1!K111 + UMYr2!K111 + UMYr3!K111 + UMYr4!K111 + UMYr5!K111</f>
        <v>0</v>
      </c>
      <c r="L111" s="112">
        <f>UMYr1!L111 + UMYr2!L111 + UMYr3!L111 + UMYr4!L111 + UMYr5!L111</f>
        <v>0</v>
      </c>
      <c r="M111" s="112">
        <f>UMYr1!M111 + UMYr2!M111 + UMYr3!M111 + UMYr4!M111 + UMYr5!M111</f>
        <v>0</v>
      </c>
      <c r="N111" s="78">
        <f>UMYr1!N111 + UMYr2!N111 + UMYr3!N111 + UMYr4!N111 + UMYr5!N111</f>
        <v>0</v>
      </c>
    </row>
    <row r="112" spans="1:14">
      <c r="A112" s="223" t="str">
        <f>IF(Sponsor!A116 = "","",Sponsor!A116)</f>
        <v/>
      </c>
      <c r="B112" s="325" t="str">
        <f>IF(Sponsor!B116="","",Sponsor!B116)</f>
        <v/>
      </c>
      <c r="C112" s="680" t="str">
        <f>IF(Sponsor!C116="","",Sponsor!C116)</f>
        <v/>
      </c>
      <c r="D112" s="106">
        <f>Sponsor!I116</f>
        <v>0</v>
      </c>
      <c r="E112" s="112">
        <f>UMYr1!E112 + UMYr2!E112 + UMYr3!E112 + UMYr4!E112 + UMYr5!E112</f>
        <v>0</v>
      </c>
      <c r="F112" s="112">
        <f>UMYr1!F112 + UMYr2!F112 + UMYr3!F112 + UMYr4!F112 + UMYr5!F112</f>
        <v>0</v>
      </c>
      <c r="G112" s="112">
        <f>UMYr1!G112 + UMYr2!G112 + UMYr3!G112 + UMYr4!G112 + UMYr5!G112</f>
        <v>0</v>
      </c>
      <c r="H112" s="112">
        <f>UMYr1!H112 + UMYr2!H112 + UMYr3!H112 + UMYr4!H112 + UMYr5!H112</f>
        <v>0</v>
      </c>
      <c r="I112" s="112">
        <f>UMYr1!I112 + UMYr2!I112 + UMYr3!I112 + UMYr4!I112 + UMYr5!I112</f>
        <v>0</v>
      </c>
      <c r="J112" s="32">
        <f>UMYr1!J112 + UMYr2!J112 + UMYr3!J112 + UMYr4!J112 + UMYr5!J112</f>
        <v>0</v>
      </c>
      <c r="K112" s="32">
        <f>UMYr1!K112 + UMYr2!K112 + UMYr3!K112 + UMYr4!K112 + UMYr5!K112</f>
        <v>0</v>
      </c>
      <c r="L112" s="112">
        <f>UMYr1!L112 + UMYr2!L112 + UMYr3!L112 + UMYr4!L112 + UMYr5!L112</f>
        <v>0</v>
      </c>
      <c r="M112" s="112">
        <f>UMYr1!M112 + UMYr2!M112 + UMYr3!M112 + UMYr4!M112 + UMYr5!M112</f>
        <v>0</v>
      </c>
      <c r="N112" s="78">
        <f>UMYr1!N112 + UMYr2!N112 + UMYr3!N112 + UMYr4!N112 + UMYr5!N112</f>
        <v>0</v>
      </c>
    </row>
    <row r="113" spans="1:14">
      <c r="A113" s="223" t="str">
        <f>IF(Sponsor!A117 = "","",Sponsor!A117)</f>
        <v/>
      </c>
      <c r="B113" s="325" t="str">
        <f>IF(Sponsor!B117="","",Sponsor!B117)</f>
        <v/>
      </c>
      <c r="C113" s="680" t="str">
        <f>IF(Sponsor!C117="","",Sponsor!C117)</f>
        <v/>
      </c>
      <c r="D113" s="106">
        <f>Sponsor!I117</f>
        <v>0</v>
      </c>
      <c r="E113" s="112">
        <f>UMYr1!E113 + UMYr2!E113 + UMYr3!E113 + UMYr4!E113 + UMYr5!E113</f>
        <v>0</v>
      </c>
      <c r="F113" s="112">
        <f>UMYr1!F113 + UMYr2!F113 + UMYr3!F113 + UMYr4!F113 + UMYr5!F113</f>
        <v>0</v>
      </c>
      <c r="G113" s="112">
        <f>UMYr1!G113 + UMYr2!G113 + UMYr3!G113 + UMYr4!G113 + UMYr5!G113</f>
        <v>0</v>
      </c>
      <c r="H113" s="112">
        <f>UMYr1!H113 + UMYr2!H113 + UMYr3!H113 + UMYr4!H113 + UMYr5!H113</f>
        <v>0</v>
      </c>
      <c r="I113" s="112">
        <f>UMYr1!I113 + UMYr2!I113 + UMYr3!I113 + UMYr4!I113 + UMYr5!I113</f>
        <v>0</v>
      </c>
      <c r="J113" s="32">
        <f>UMYr1!J113 + UMYr2!J113 + UMYr3!J113 + UMYr4!J113 + UMYr5!J113</f>
        <v>0</v>
      </c>
      <c r="K113" s="32">
        <f>UMYr1!K113 + UMYr2!K113 + UMYr3!K113 + UMYr4!K113 + UMYr5!K113</f>
        <v>0</v>
      </c>
      <c r="L113" s="112">
        <f>UMYr1!L113 + UMYr2!L113 + UMYr3!L113 + UMYr4!L113 + UMYr5!L113</f>
        <v>0</v>
      </c>
      <c r="M113" s="112">
        <f>UMYr1!M113 + UMYr2!M113 + UMYr3!M113 + UMYr4!M113 + UMYr5!M113</f>
        <v>0</v>
      </c>
      <c r="N113" s="78">
        <f>UMYr1!N113 + UMYr2!N113 + UMYr3!N113 + UMYr4!N113 + UMYr5!N113</f>
        <v>0</v>
      </c>
    </row>
    <row r="114" spans="1:14">
      <c r="A114" s="223" t="str">
        <f>IF(Sponsor!A118 = "","",Sponsor!A118)</f>
        <v/>
      </c>
      <c r="B114" s="325" t="str">
        <f>IF(Sponsor!B118="","",Sponsor!B118)</f>
        <v/>
      </c>
      <c r="C114" s="680" t="str">
        <f>IF(Sponsor!C118="","",Sponsor!C118)</f>
        <v/>
      </c>
      <c r="D114" s="106">
        <f>Sponsor!I118</f>
        <v>0</v>
      </c>
      <c r="E114" s="112">
        <f>UMYr1!E114 + UMYr2!E114 + UMYr3!E114 + UMYr4!E114 + UMYr5!E114</f>
        <v>0</v>
      </c>
      <c r="F114" s="112">
        <f>UMYr1!F114 + UMYr2!F114 + UMYr3!F114 + UMYr4!F114 + UMYr5!F114</f>
        <v>0</v>
      </c>
      <c r="G114" s="112">
        <f>UMYr1!G114 + UMYr2!G114 + UMYr3!G114 + UMYr4!G114 + UMYr5!G114</f>
        <v>0</v>
      </c>
      <c r="H114" s="112">
        <f>UMYr1!H114 + UMYr2!H114 + UMYr3!H114 + UMYr4!H114 + UMYr5!H114</f>
        <v>0</v>
      </c>
      <c r="I114" s="112">
        <f>UMYr1!I114 + UMYr2!I114 + UMYr3!I114 + UMYr4!I114 + UMYr5!I114</f>
        <v>0</v>
      </c>
      <c r="J114" s="32">
        <f>UMYr1!J114 + UMYr2!J114 + UMYr3!J114 + UMYr4!J114 + UMYr5!J114</f>
        <v>0</v>
      </c>
      <c r="K114" s="32">
        <f>UMYr1!K114 + UMYr2!K114 + UMYr3!K114 + UMYr4!K114 + UMYr5!K114</f>
        <v>0</v>
      </c>
      <c r="L114" s="112">
        <f>UMYr1!L114 + UMYr2!L114 + UMYr3!L114 + UMYr4!L114 + UMYr5!L114</f>
        <v>0</v>
      </c>
      <c r="M114" s="112">
        <f>UMYr1!M114 + UMYr2!M114 + UMYr3!M114 + UMYr4!M114 + UMYr5!M114</f>
        <v>0</v>
      </c>
      <c r="N114" s="78">
        <f>UMYr1!N114 + UMYr2!N114 + UMYr3!N114 + UMYr4!N114 + UMYr5!N114</f>
        <v>0</v>
      </c>
    </row>
    <row r="115" spans="1:14">
      <c r="A115" s="223" t="str">
        <f>IF(Sponsor!A119 = "","",Sponsor!A119)</f>
        <v/>
      </c>
      <c r="B115" s="325" t="str">
        <f>IF(Sponsor!B119="","",Sponsor!B119)</f>
        <v/>
      </c>
      <c r="C115" s="680" t="str">
        <f>IF(Sponsor!C119="","",Sponsor!C119)</f>
        <v/>
      </c>
      <c r="D115" s="106">
        <f>Sponsor!I119</f>
        <v>0</v>
      </c>
      <c r="E115" s="112">
        <f>UMYr1!E115 + UMYr2!E115 + UMYr3!E115 + UMYr4!E115 + UMYr5!E115</f>
        <v>0</v>
      </c>
      <c r="F115" s="112">
        <f>UMYr1!F115 + UMYr2!F115 + UMYr3!F115 + UMYr4!F115 + UMYr5!F115</f>
        <v>0</v>
      </c>
      <c r="G115" s="112">
        <f>UMYr1!G115 + UMYr2!G115 + UMYr3!G115 + UMYr4!G115 + UMYr5!G115</f>
        <v>0</v>
      </c>
      <c r="H115" s="112">
        <f>UMYr1!H115 + UMYr2!H115 + UMYr3!H115 + UMYr4!H115 + UMYr5!H115</f>
        <v>0</v>
      </c>
      <c r="I115" s="112">
        <f>UMYr1!I115 + UMYr2!I115 + UMYr3!I115 + UMYr4!I115 + UMYr5!I115</f>
        <v>0</v>
      </c>
      <c r="J115" s="32">
        <f>UMYr1!J115 + UMYr2!J115 + UMYr3!J115 + UMYr4!J115 + UMYr5!J115</f>
        <v>0</v>
      </c>
      <c r="K115" s="32">
        <f>UMYr1!K115 + UMYr2!K115 + UMYr3!K115 + UMYr4!K115 + UMYr5!K115</f>
        <v>0</v>
      </c>
      <c r="L115" s="112">
        <f>UMYr1!L115 + UMYr2!L115 + UMYr3!L115 + UMYr4!L115 + UMYr5!L115</f>
        <v>0</v>
      </c>
      <c r="M115" s="112">
        <f>UMYr1!M115 + UMYr2!M115 + UMYr3!M115 + UMYr4!M115 + UMYr5!M115</f>
        <v>0</v>
      </c>
      <c r="N115" s="78">
        <f>UMYr1!N115 + UMYr2!N115 + UMYr3!N115 + UMYr4!N115 + UMYr5!N115</f>
        <v>0</v>
      </c>
    </row>
    <row r="116" spans="1:14">
      <c r="A116" s="223" t="str">
        <f>IF(Sponsor!A120 = "","",Sponsor!A120)</f>
        <v/>
      </c>
      <c r="B116" s="325" t="str">
        <f>IF(Sponsor!B120="","",Sponsor!B120)</f>
        <v/>
      </c>
      <c r="C116" s="680" t="str">
        <f>IF(Sponsor!C120="","",Sponsor!C120)</f>
        <v/>
      </c>
      <c r="D116" s="106">
        <f>Sponsor!I120</f>
        <v>0</v>
      </c>
      <c r="E116" s="112">
        <f>UMYr1!E116 + UMYr2!E116 + UMYr3!E116 + UMYr4!E116 + UMYr5!E116</f>
        <v>0</v>
      </c>
      <c r="F116" s="112">
        <f>UMYr1!F116 + UMYr2!F116 + UMYr3!F116 + UMYr4!F116 + UMYr5!F116</f>
        <v>0</v>
      </c>
      <c r="G116" s="112">
        <f>UMYr1!G116 + UMYr2!G116 + UMYr3!G116 + UMYr4!G116 + UMYr5!G116</f>
        <v>0</v>
      </c>
      <c r="H116" s="112">
        <f>UMYr1!H116 + UMYr2!H116 + UMYr3!H116 + UMYr4!H116 + UMYr5!H116</f>
        <v>0</v>
      </c>
      <c r="I116" s="112">
        <f>UMYr1!I116 + UMYr2!I116 + UMYr3!I116 + UMYr4!I116 + UMYr5!I116</f>
        <v>0</v>
      </c>
      <c r="J116" s="32">
        <f>UMYr1!J116 + UMYr2!J116 + UMYr3!J116 + UMYr4!J116 + UMYr5!J116</f>
        <v>0</v>
      </c>
      <c r="K116" s="32">
        <f>UMYr1!K116 + UMYr2!K116 + UMYr3!K116 + UMYr4!K116 + UMYr5!K116</f>
        <v>0</v>
      </c>
      <c r="L116" s="112">
        <f>UMYr1!L116 + UMYr2!L116 + UMYr3!L116 + UMYr4!L116 + UMYr5!L116</f>
        <v>0</v>
      </c>
      <c r="M116" s="112">
        <f>UMYr1!M116 + UMYr2!M116 + UMYr3!M116 + UMYr4!M116 + UMYr5!M116</f>
        <v>0</v>
      </c>
      <c r="N116" s="78">
        <f>UMYr1!N116 + UMYr2!N116 + UMYr3!N116 + UMYr4!N116 + UMYr5!N116</f>
        <v>0</v>
      </c>
    </row>
    <row r="117" spans="1:14">
      <c r="A117" s="223" t="str">
        <f>IF(Sponsor!A121 = "","",Sponsor!A121)</f>
        <v/>
      </c>
      <c r="B117" s="325" t="str">
        <f>IF(Sponsor!B121="","",Sponsor!B121)</f>
        <v/>
      </c>
      <c r="C117" s="680" t="str">
        <f>IF(Sponsor!C121="","",Sponsor!C121)</f>
        <v/>
      </c>
      <c r="D117" s="106">
        <f>Sponsor!I121</f>
        <v>0</v>
      </c>
      <c r="E117" s="112">
        <f>UMYr1!E117 + UMYr2!E117 + UMYr3!E117 + UMYr4!E117 + UMYr5!E117</f>
        <v>0</v>
      </c>
      <c r="F117" s="112">
        <f>UMYr1!F117 + UMYr2!F117 + UMYr3!F117 + UMYr4!F117 + UMYr5!F117</f>
        <v>0</v>
      </c>
      <c r="G117" s="112">
        <f>UMYr1!G117 + UMYr2!G117 + UMYr3!G117 + UMYr4!G117 + UMYr5!G117</f>
        <v>0</v>
      </c>
      <c r="H117" s="112">
        <f>UMYr1!H117 + UMYr2!H117 + UMYr3!H117 + UMYr4!H117 + UMYr5!H117</f>
        <v>0</v>
      </c>
      <c r="I117" s="112">
        <f>UMYr1!I117 + UMYr2!I117 + UMYr3!I117 + UMYr4!I117 + UMYr5!I117</f>
        <v>0</v>
      </c>
      <c r="J117" s="32">
        <f>UMYr1!J117 + UMYr2!J117 + UMYr3!J117 + UMYr4!J117 + UMYr5!J117</f>
        <v>0</v>
      </c>
      <c r="K117" s="32">
        <f>UMYr1!K117 + UMYr2!K117 + UMYr3!K117 + UMYr4!K117 + UMYr5!K117</f>
        <v>0</v>
      </c>
      <c r="L117" s="112">
        <f>UMYr1!L117 + UMYr2!L117 + UMYr3!L117 + UMYr4!L117 + UMYr5!L117</f>
        <v>0</v>
      </c>
      <c r="M117" s="112">
        <f>UMYr1!M117 + UMYr2!M117 + UMYr3!M117 + UMYr4!M117 + UMYr5!M117</f>
        <v>0</v>
      </c>
      <c r="N117" s="78">
        <f>UMYr1!N117 + UMYr2!N117 + UMYr3!N117 + UMYr4!N117 + UMYr5!N117</f>
        <v>0</v>
      </c>
    </row>
    <row r="118" spans="1:14">
      <c r="A118" s="223" t="str">
        <f>IF(Sponsor!A122 = "","",Sponsor!A122)</f>
        <v/>
      </c>
      <c r="B118" s="325" t="str">
        <f>IF(Sponsor!B122="","",Sponsor!B122)</f>
        <v/>
      </c>
      <c r="C118" s="680" t="str">
        <f>IF(Sponsor!C122="","",Sponsor!C122)</f>
        <v/>
      </c>
      <c r="D118" s="106">
        <f>Sponsor!I122</f>
        <v>0</v>
      </c>
      <c r="E118" s="112">
        <f>UMYr1!E118 + UMYr2!E118 + UMYr3!E118 + UMYr4!E118 + UMYr5!E118</f>
        <v>0</v>
      </c>
      <c r="F118" s="112">
        <f>UMYr1!F118 + UMYr2!F118 + UMYr3!F118 + UMYr4!F118 + UMYr5!F118</f>
        <v>0</v>
      </c>
      <c r="G118" s="112">
        <f>UMYr1!G118 + UMYr2!G118 + UMYr3!G118 + UMYr4!G118 + UMYr5!G118</f>
        <v>0</v>
      </c>
      <c r="H118" s="112">
        <f>UMYr1!H118 + UMYr2!H118 + UMYr3!H118 + UMYr4!H118 + UMYr5!H118</f>
        <v>0</v>
      </c>
      <c r="I118" s="112">
        <f>UMYr1!I118 + UMYr2!I118 + UMYr3!I118 + UMYr4!I118 + UMYr5!I118</f>
        <v>0</v>
      </c>
      <c r="J118" s="32">
        <f>UMYr1!J118 + UMYr2!J118 + UMYr3!J118 + UMYr4!J118 + UMYr5!J118</f>
        <v>0</v>
      </c>
      <c r="K118" s="32">
        <f>UMYr1!K118 + UMYr2!K118 + UMYr3!K118 + UMYr4!K118 + UMYr5!K118</f>
        <v>0</v>
      </c>
      <c r="L118" s="112">
        <f>UMYr1!L118 + UMYr2!L118 + UMYr3!L118 + UMYr4!L118 + UMYr5!L118</f>
        <v>0</v>
      </c>
      <c r="M118" s="112">
        <f>UMYr1!M118 + UMYr2!M118 + UMYr3!M118 + UMYr4!M118 + UMYr5!M118</f>
        <v>0</v>
      </c>
      <c r="N118" s="78">
        <f>UMYr1!N118 + UMYr2!N118 + UMYr3!N118 + UMYr4!N118 + UMYr5!N118</f>
        <v>0</v>
      </c>
    </row>
    <row r="119" spans="1:14">
      <c r="A119" s="223" t="str">
        <f>IF(Sponsor!A123 = "","",Sponsor!A123)</f>
        <v/>
      </c>
      <c r="B119" s="325" t="str">
        <f>IF(Sponsor!B123="","",Sponsor!B123)</f>
        <v/>
      </c>
      <c r="C119" s="680" t="str">
        <f>IF(Sponsor!C123="","",Sponsor!C123)</f>
        <v/>
      </c>
      <c r="D119" s="298">
        <f>Sponsor!I123</f>
        <v>0</v>
      </c>
      <c r="E119" s="112">
        <f>UMYr1!E119 + UMYr2!E119 + UMYr3!E119 + UMYr4!E119 + UMYr5!E119</f>
        <v>0</v>
      </c>
      <c r="F119" s="112">
        <f>UMYr1!F119 + UMYr2!F119 + UMYr3!F119 + UMYr4!F119 + UMYr5!F119</f>
        <v>0</v>
      </c>
      <c r="G119" s="112">
        <f>UMYr1!G119 + UMYr2!G119 + UMYr3!G119 + UMYr4!G119 + UMYr5!G119</f>
        <v>0</v>
      </c>
      <c r="H119" s="112">
        <f>UMYr1!H119 + UMYr2!H119 + UMYr3!H119 + UMYr4!H119 + UMYr5!H119</f>
        <v>0</v>
      </c>
      <c r="I119" s="340">
        <f>UMYr1!I119 + UMYr2!I119 + UMYr3!I119 + UMYr4!I119 + UMYr5!I119</f>
        <v>0</v>
      </c>
      <c r="J119" s="32">
        <f>UMYr1!J119 + UMYr2!J119 + UMYr3!J119 + UMYr4!J119 + UMYr5!J119</f>
        <v>0</v>
      </c>
      <c r="K119" s="32">
        <f>UMYr1!K119 + UMYr2!K119 + UMYr3!K119 + UMYr4!K119 + UMYr5!K119</f>
        <v>0</v>
      </c>
      <c r="L119" s="112">
        <f>UMYr1!L119 + UMYr2!L119 + UMYr3!L119 + UMYr4!L119 + UMYr5!L119</f>
        <v>0</v>
      </c>
      <c r="M119" s="112">
        <f>UMYr1!M119 + UMYr2!M119 + UMYr3!M119 + UMYr4!M119 + UMYr5!M119</f>
        <v>0</v>
      </c>
      <c r="N119" s="78">
        <f>UMYr1!N119 + UMYr2!N119 + UMYr3!N119 + UMYr4!N119 + UMYr5!N119</f>
        <v>0</v>
      </c>
    </row>
    <row r="120" spans="1:14" ht="13.5" thickBot="1">
      <c r="A120" s="223" t="str">
        <f>IF(UMYr1!A120 = "","",UMYr1!A120)</f>
        <v/>
      </c>
      <c r="B120" s="982" t="s">
        <v>584</v>
      </c>
      <c r="C120" s="885"/>
      <c r="D120" s="72">
        <f>Sponsor!I124</f>
        <v>0</v>
      </c>
      <c r="E120" s="99">
        <f>UMYr1!E120 + UMYr2!E120 + UMYr3!E120 + UMYr4!E120 + UMYr5!E120</f>
        <v>0</v>
      </c>
      <c r="F120" s="128">
        <f>UMYr1!F120 + UMYr2!F120 + UMYr3!F120 + UMYr4!F120 + UMYr5!F120</f>
        <v>0</v>
      </c>
      <c r="G120" s="128">
        <f>UMYr1!G120 + UMYr2!G120 + UMYr3!G120 + UMYr4!G120 + UMYr5!G120</f>
        <v>0</v>
      </c>
      <c r="H120" s="128">
        <f>UMYr1!H120 + UMYr2!H120 + UMYr3!H120 + UMYr4!H120 + UMYr5!H120</f>
        <v>0</v>
      </c>
      <c r="I120" s="128">
        <f>UMYr1!I120 + UMYr2!I120 + UMYr3!I120 + UMYr4!I120 + UMYr5!I120</f>
        <v>0</v>
      </c>
      <c r="J120" s="72">
        <f>UMYr1!J120 + UMYr2!J120 + UMYr3!J120 + UMYr4!J120 + UMYr5!J120</f>
        <v>0</v>
      </c>
      <c r="K120" s="72">
        <f>UMYr1!K120 + UMYr2!K120 + UMYr3!K120 + UMYr4!K120 + UMYr5!K120</f>
        <v>0</v>
      </c>
      <c r="L120" s="99">
        <f>UMYr1!L120 + UMYr2!L120 + UMYr3!L120 + UMYr4!L120 + UMYr5!L120</f>
        <v>0</v>
      </c>
      <c r="M120" s="300">
        <f>UMYr1!M120 + UMYr2!M120 + UMYr3!M120 + UMYr4!M120 + UMYr5!M120</f>
        <v>0</v>
      </c>
      <c r="N120" s="76">
        <f>UMYr1!N120 + UMYr2!N120 + UMYr3!N120 + UMYr4!N120 + UMYr5!N120</f>
        <v>0</v>
      </c>
    </row>
    <row r="121" spans="1:14">
      <c r="A121" s="156"/>
      <c r="B121" s="84" t="s">
        <v>585</v>
      </c>
      <c r="C121" s="227"/>
      <c r="D121" s="227"/>
      <c r="E121" s="227"/>
      <c r="F121" s="227"/>
      <c r="G121" s="227"/>
      <c r="H121" s="227"/>
      <c r="I121" s="227"/>
      <c r="J121" s="227"/>
      <c r="K121" s="227"/>
      <c r="L121" s="227"/>
      <c r="M121" s="227"/>
      <c r="N121" s="228"/>
    </row>
    <row r="122" spans="1:14">
      <c r="A122" s="156"/>
      <c r="B122" s="301"/>
      <c r="C122" s="302" t="s">
        <v>589</v>
      </c>
      <c r="D122" s="240"/>
      <c r="E122" s="28"/>
      <c r="F122" s="28"/>
      <c r="G122" s="28"/>
      <c r="H122" s="28"/>
      <c r="I122" s="28"/>
      <c r="J122" s="28"/>
      <c r="K122" s="189"/>
      <c r="L122" s="28"/>
      <c r="M122" s="28"/>
      <c r="N122" s="241"/>
    </row>
    <row r="123" spans="1:14">
      <c r="A123" s="156"/>
      <c r="B123" s="115" t="str">
        <f>Sponsor!B127</f>
        <v>01</v>
      </c>
      <c r="C123" s="677" t="str">
        <f>IF(Sponsor!C127="","",Sponsor!C127)</f>
        <v/>
      </c>
      <c r="D123" s="638">
        <f>Sponsor!I127</f>
        <v>0</v>
      </c>
      <c r="E123" s="678">
        <f>UMYr1!E123 + UMYr2!E123 + UMYr3!E123 + UMYr4!E123 + UMYr5!E123</f>
        <v>0</v>
      </c>
      <c r="F123" s="638">
        <f>UMYr1!F123 + UMYr2!F123 + UMYr3!F123 + UMYr4!F123 + UMYr5!F123</f>
        <v>0</v>
      </c>
      <c r="G123" s="638">
        <f>UMYr1!G123 + UMYr2!G123 + UMYr3!G123 + UMYr4!G123 + UMYr5!G123</f>
        <v>0</v>
      </c>
      <c r="H123" s="638">
        <f>UMYr1!H123 + UMYr2!H123 + UMYr3!H123 + UMYr4!H123 + UMYr5!H123</f>
        <v>0</v>
      </c>
      <c r="I123" s="638">
        <f>UMYr1!I123 + UMYr2!I123 + UMYr3!I123 + UMYr4!I123 + UMYr5!I123</f>
        <v>0</v>
      </c>
      <c r="J123" s="638">
        <f>UMYr1!J123 + UMYr2!J123 + UMYr3!J123 + UMYr4!J123 + UMYr5!J123</f>
        <v>0</v>
      </c>
      <c r="K123" s="638">
        <f>Sponsor!P127+J123</f>
        <v>0</v>
      </c>
      <c r="L123" s="638">
        <f>UMYr1!L123 +UMYr2!L123 + UMYr3!L123 + UMYr4!L123 + UMYr5!L123</f>
        <v>0</v>
      </c>
      <c r="M123" s="638">
        <f>UMYr1!M123 +UMYr2!M123 + UMYr3!M123 + UMYr4!M123 + UMYr5!M123</f>
        <v>0</v>
      </c>
      <c r="N123" s="167">
        <f>D123+J123+L123+M123</f>
        <v>0</v>
      </c>
    </row>
    <row r="124" spans="1:14">
      <c r="A124" s="156">
        <f>Sponsor!A128</f>
        <v>60250</v>
      </c>
      <c r="B124" s="116"/>
      <c r="C124" s="102" t="str">
        <f>Sponsor!C128</f>
        <v>Less than $25K</v>
      </c>
      <c r="D124" s="124">
        <f>Sponsor!I128</f>
        <v>0</v>
      </c>
      <c r="E124" s="892" t="s">
        <v>679</v>
      </c>
      <c r="F124" s="920"/>
      <c r="G124" s="920"/>
      <c r="H124" s="920"/>
      <c r="I124" s="921"/>
      <c r="J124" s="673">
        <f>UMYr1!J124 + UMYr2!J124 + UMYr3!J124 + UMYr4!J124 + UMYr5!J124</f>
        <v>0</v>
      </c>
      <c r="K124" s="673">
        <f>D124+J124</f>
        <v>0</v>
      </c>
      <c r="L124" s="888" t="s">
        <v>679</v>
      </c>
      <c r="M124" s="889"/>
      <c r="N124" s="168">
        <f t="shared" ref="N124:N152" si="1">D124</f>
        <v>0</v>
      </c>
    </row>
    <row r="125" spans="1:14">
      <c r="A125" s="156">
        <f>Sponsor!A129</f>
        <v>60270</v>
      </c>
      <c r="B125" s="117"/>
      <c r="C125" s="102" t="str">
        <f>Sponsor!C129</f>
        <v>Greater than $25K</v>
      </c>
      <c r="D125" s="125">
        <f>Sponsor!I129</f>
        <v>0</v>
      </c>
      <c r="E125" s="922"/>
      <c r="F125" s="923"/>
      <c r="G125" s="923"/>
      <c r="H125" s="923"/>
      <c r="I125" s="924"/>
      <c r="J125" s="673">
        <f>UMYr1!J125 + UMYr2!J125 + UMYr3!J125 + UMYr4!J125 + UMYr5!J125</f>
        <v>0</v>
      </c>
      <c r="K125" s="673">
        <f>D125+J125</f>
        <v>0</v>
      </c>
      <c r="L125" s="890"/>
      <c r="M125" s="891"/>
      <c r="N125" s="169">
        <f t="shared" si="1"/>
        <v>0</v>
      </c>
    </row>
    <row r="126" spans="1:14">
      <c r="A126" s="156"/>
      <c r="B126" s="115" t="str">
        <f>Sponsor!B130</f>
        <v>02</v>
      </c>
      <c r="C126" s="677" t="str">
        <f>IF(Sponsor!C130="","",Sponsor!C130)</f>
        <v/>
      </c>
      <c r="D126" s="638">
        <f>Sponsor!I130</f>
        <v>0</v>
      </c>
      <c r="E126" s="678">
        <f>UMYr1!E126 + UMYr2!E126 + UMYr3!E126 + UMYr4!E126 + UMYr5!E126</f>
        <v>0</v>
      </c>
      <c r="F126" s="638">
        <f>UMYr1!F126 + UMYr2!F126 + UMYr3!F126 + UMYr4!F126 + UMYr5!F126</f>
        <v>0</v>
      </c>
      <c r="G126" s="638">
        <f>UMYr1!G126 + UMYr2!G126 + UMYr3!G126 + UMYr4!G126 + UMYr5!G126</f>
        <v>0</v>
      </c>
      <c r="H126" s="638">
        <f>UMYr1!H126 + UMYr2!H126 + UMYr3!H126 + UMYr4!H126 + UMYr5!H126</f>
        <v>0</v>
      </c>
      <c r="I126" s="638">
        <f>UMYr1!I126 + UMYr2!I126 + UMYr3!I126 + UMYr4!I126 + UMYr5!I126</f>
        <v>0</v>
      </c>
      <c r="J126" s="638">
        <f>UMYr1!J126 + UMYr2!J126 + UMYr3!J126 + UMYr4!J126 + UMYr5!J126</f>
        <v>0</v>
      </c>
      <c r="K126" s="638">
        <f>Sponsor!P130+J126</f>
        <v>0</v>
      </c>
      <c r="L126" s="638">
        <f>UMYr1!L126 +UMYr2!L126 + UMYr3!L126 + UMYr4!L126 + UMYr5!L126</f>
        <v>0</v>
      </c>
      <c r="M126" s="638">
        <f>UMYr1!M126 +UMYr2!M126 + UMYr3!M126 + UMYr4!M126 + UMYr5!M126</f>
        <v>0</v>
      </c>
      <c r="N126" s="167">
        <f>D126+J126+L126+M126</f>
        <v>0</v>
      </c>
    </row>
    <row r="127" spans="1:14">
      <c r="A127" s="156">
        <f>Sponsor!A131</f>
        <v>60250</v>
      </c>
      <c r="B127" s="116"/>
      <c r="C127" s="102" t="str">
        <f>Sponsor!C131</f>
        <v>Less than $25K</v>
      </c>
      <c r="D127" s="124">
        <f>Sponsor!I131</f>
        <v>0</v>
      </c>
      <c r="E127" s="892" t="s">
        <v>679</v>
      </c>
      <c r="F127" s="920"/>
      <c r="G127" s="920"/>
      <c r="H127" s="920"/>
      <c r="I127" s="921"/>
      <c r="J127" s="673">
        <f>UMYr1!J127 + UMYr2!J127 + UMYr3!J127 + UMYr4!J127 + UMYr5!J127</f>
        <v>0</v>
      </c>
      <c r="K127" s="673">
        <f>D127+J127</f>
        <v>0</v>
      </c>
      <c r="L127" s="888" t="s">
        <v>679</v>
      </c>
      <c r="M127" s="889"/>
      <c r="N127" s="168">
        <f t="shared" si="1"/>
        <v>0</v>
      </c>
    </row>
    <row r="128" spans="1:14">
      <c r="A128" s="156">
        <f>Sponsor!A132</f>
        <v>60270</v>
      </c>
      <c r="B128" s="117"/>
      <c r="C128" s="102" t="str">
        <f>Sponsor!C132</f>
        <v>Greater than $25K</v>
      </c>
      <c r="D128" s="125">
        <f>Sponsor!I132</f>
        <v>0</v>
      </c>
      <c r="E128" s="922"/>
      <c r="F128" s="923"/>
      <c r="G128" s="923"/>
      <c r="H128" s="923"/>
      <c r="I128" s="924"/>
      <c r="J128" s="673">
        <f>UMYr1!J128 + UMYr2!J128 + UMYr3!J128 + UMYr4!J128 + UMYr5!J128</f>
        <v>0</v>
      </c>
      <c r="K128" s="673">
        <f>D128+J128</f>
        <v>0</v>
      </c>
      <c r="L128" s="890"/>
      <c r="M128" s="891"/>
      <c r="N128" s="169">
        <f t="shared" si="1"/>
        <v>0</v>
      </c>
    </row>
    <row r="129" spans="1:14">
      <c r="A129" s="156"/>
      <c r="B129" s="115" t="str">
        <f>Sponsor!B133</f>
        <v>03</v>
      </c>
      <c r="C129" s="677" t="str">
        <f>IF(Sponsor!C133="","",Sponsor!C133)</f>
        <v/>
      </c>
      <c r="D129" s="638">
        <f>Sponsor!I133</f>
        <v>0</v>
      </c>
      <c r="E129" s="678">
        <f>UMYr1!E129 + UMYr2!E129 + UMYr3!E129 + UMYr4!E129 + UMYr5!E129</f>
        <v>0</v>
      </c>
      <c r="F129" s="638">
        <f>UMYr1!F129 + UMYr2!F129 + UMYr3!F129 + UMYr4!F129 + UMYr5!F129</f>
        <v>0</v>
      </c>
      <c r="G129" s="638">
        <f>UMYr1!G129 + UMYr2!G129 + UMYr3!G129 + UMYr4!G129 + UMYr5!G129</f>
        <v>0</v>
      </c>
      <c r="H129" s="638">
        <f>UMYr1!H129 + UMYr2!H129 + UMYr3!H129 + UMYr4!H129 + UMYr5!H129</f>
        <v>0</v>
      </c>
      <c r="I129" s="638">
        <f>UMYr1!I129 + UMYr2!I129 + UMYr3!I129 + UMYr4!I129 + UMYr5!I129</f>
        <v>0</v>
      </c>
      <c r="J129" s="638">
        <f>UMYr1!J129 + UMYr2!J129 + UMYr3!J129 + UMYr4!J129 + UMYr5!J129</f>
        <v>0</v>
      </c>
      <c r="K129" s="638">
        <f>Sponsor!P133+J129</f>
        <v>0</v>
      </c>
      <c r="L129" s="638">
        <f>UMYr1!L129 +UMYr2!L129 + UMYr3!L129 + UMYr4!L129 + UMYr5!L129</f>
        <v>0</v>
      </c>
      <c r="M129" s="638">
        <f>UMYr1!M129 +UMYr2!M129 + UMYr3!M129 + UMYr4!M129 + UMYr5!M129</f>
        <v>0</v>
      </c>
      <c r="N129" s="167">
        <f>D129+J129+L129+M129</f>
        <v>0</v>
      </c>
    </row>
    <row r="130" spans="1:14">
      <c r="A130" s="156">
        <f>Sponsor!A134</f>
        <v>60250</v>
      </c>
      <c r="B130" s="116"/>
      <c r="C130" s="102" t="str">
        <f>Sponsor!C134</f>
        <v>Less than $25K</v>
      </c>
      <c r="D130" s="124">
        <f>Sponsor!I134</f>
        <v>0</v>
      </c>
      <c r="E130" s="892" t="s">
        <v>679</v>
      </c>
      <c r="F130" s="920"/>
      <c r="G130" s="920"/>
      <c r="H130" s="920"/>
      <c r="I130" s="921"/>
      <c r="J130" s="673">
        <f>UMYr1!J130 + UMYr2!J130 + UMYr3!J130 + UMYr4!J130 + UMYr5!J130</f>
        <v>0</v>
      </c>
      <c r="K130" s="673">
        <f>D130+J130</f>
        <v>0</v>
      </c>
      <c r="L130" s="888" t="s">
        <v>679</v>
      </c>
      <c r="M130" s="889"/>
      <c r="N130" s="168">
        <f t="shared" si="1"/>
        <v>0</v>
      </c>
    </row>
    <row r="131" spans="1:14">
      <c r="A131" s="156">
        <f>Sponsor!A135</f>
        <v>60270</v>
      </c>
      <c r="B131" s="117"/>
      <c r="C131" s="102" t="str">
        <f>Sponsor!C135</f>
        <v>Greater than $25K</v>
      </c>
      <c r="D131" s="125">
        <f>Sponsor!I135</f>
        <v>0</v>
      </c>
      <c r="E131" s="922"/>
      <c r="F131" s="923"/>
      <c r="G131" s="923"/>
      <c r="H131" s="923"/>
      <c r="I131" s="924"/>
      <c r="J131" s="673">
        <f>UMYr1!J131 + UMYr2!J131 + UMYr3!J131 + UMYr4!J131 + UMYr5!J131</f>
        <v>0</v>
      </c>
      <c r="K131" s="673">
        <f>D131+J131</f>
        <v>0</v>
      </c>
      <c r="L131" s="890"/>
      <c r="M131" s="891"/>
      <c r="N131" s="169">
        <f t="shared" si="1"/>
        <v>0</v>
      </c>
    </row>
    <row r="132" spans="1:14">
      <c r="A132" s="156"/>
      <c r="B132" s="115" t="str">
        <f>Sponsor!B136</f>
        <v>04</v>
      </c>
      <c r="C132" s="677" t="str">
        <f>IF(Sponsor!C136="","",Sponsor!C136)</f>
        <v/>
      </c>
      <c r="D132" s="638">
        <f>Sponsor!I136</f>
        <v>0</v>
      </c>
      <c r="E132" s="678">
        <f>UMYr1!E132 + UMYr2!E132 + UMYr3!E132 + UMYr4!E132 + UMYr5!E132</f>
        <v>0</v>
      </c>
      <c r="F132" s="638">
        <f>UMYr1!F132 + UMYr2!F132 + UMYr3!F132 + UMYr4!F132 + UMYr5!F132</f>
        <v>0</v>
      </c>
      <c r="G132" s="638">
        <f>UMYr1!G132 + UMYr2!G132 + UMYr3!G132 + UMYr4!G132 + UMYr5!G132</f>
        <v>0</v>
      </c>
      <c r="H132" s="638">
        <f>UMYr1!H132 + UMYr2!H132 + UMYr3!H132 + UMYr4!H132 + UMYr5!H132</f>
        <v>0</v>
      </c>
      <c r="I132" s="638">
        <f>UMYr1!I132 + UMYr2!I132 + UMYr3!I132 + UMYr4!I132 + UMYr5!I132</f>
        <v>0</v>
      </c>
      <c r="J132" s="638">
        <f>UMYr1!J132 + UMYr2!J132 + UMYr3!J132 + UMYr4!J132 + UMYr5!J132</f>
        <v>0</v>
      </c>
      <c r="K132" s="638">
        <f>Sponsor!P136+J132</f>
        <v>0</v>
      </c>
      <c r="L132" s="638">
        <f>UMYr1!L132 +UMYr2!L132 + UMYr3!L132 + UMYr4!L132 + UMYr5!L132</f>
        <v>0</v>
      </c>
      <c r="M132" s="638">
        <f>UMYr1!M132 +UMYr2!M132 + UMYr3!M132 + UMYr4!M132 + UMYr5!M132</f>
        <v>0</v>
      </c>
      <c r="N132" s="167">
        <f>D132+J132+L132+M132</f>
        <v>0</v>
      </c>
    </row>
    <row r="133" spans="1:14">
      <c r="A133" s="156">
        <f>Sponsor!A137</f>
        <v>60250</v>
      </c>
      <c r="B133" s="116"/>
      <c r="C133" s="102" t="str">
        <f>Sponsor!C137</f>
        <v>Less than $25K</v>
      </c>
      <c r="D133" s="124">
        <f>Sponsor!I137</f>
        <v>0</v>
      </c>
      <c r="E133" s="892" t="s">
        <v>679</v>
      </c>
      <c r="F133" s="920"/>
      <c r="G133" s="920"/>
      <c r="H133" s="920"/>
      <c r="I133" s="921"/>
      <c r="J133" s="673">
        <f>UMYr1!J133 + UMYr2!J133 + UMYr3!J133 + UMYr4!J133 + UMYr5!J133</f>
        <v>0</v>
      </c>
      <c r="K133" s="673">
        <f>D133+J133</f>
        <v>0</v>
      </c>
      <c r="L133" s="888" t="s">
        <v>679</v>
      </c>
      <c r="M133" s="889"/>
      <c r="N133" s="168">
        <f t="shared" si="1"/>
        <v>0</v>
      </c>
    </row>
    <row r="134" spans="1:14">
      <c r="A134" s="156">
        <f>Sponsor!A138</f>
        <v>60270</v>
      </c>
      <c r="B134" s="117"/>
      <c r="C134" s="102" t="str">
        <f>Sponsor!C138</f>
        <v>Greater than $25K</v>
      </c>
      <c r="D134" s="125">
        <f>Sponsor!I138</f>
        <v>0</v>
      </c>
      <c r="E134" s="922"/>
      <c r="F134" s="923"/>
      <c r="G134" s="923"/>
      <c r="H134" s="923"/>
      <c r="I134" s="924"/>
      <c r="J134" s="673">
        <f>UMYr1!J134 + UMYr2!J134 + UMYr3!J134 + UMYr4!J134 + UMYr5!J134</f>
        <v>0</v>
      </c>
      <c r="K134" s="673">
        <f>D134+J134</f>
        <v>0</v>
      </c>
      <c r="L134" s="890"/>
      <c r="M134" s="891"/>
      <c r="N134" s="169">
        <f t="shared" si="1"/>
        <v>0</v>
      </c>
    </row>
    <row r="135" spans="1:14">
      <c r="A135" s="156"/>
      <c r="B135" s="115" t="str">
        <f>Sponsor!B139</f>
        <v>05</v>
      </c>
      <c r="C135" s="677" t="str">
        <f>IF(Sponsor!C139="","",Sponsor!C139)</f>
        <v/>
      </c>
      <c r="D135" s="638">
        <f>Sponsor!I139</f>
        <v>0</v>
      </c>
      <c r="E135" s="678">
        <f>UMYr1!E135 + UMYr2!E135 + UMYr3!E135 + UMYr4!E135 + UMYr5!E135</f>
        <v>0</v>
      </c>
      <c r="F135" s="638">
        <f>UMYr1!F135 + UMYr2!F135 + UMYr3!F135 + UMYr4!F135 + UMYr5!F135</f>
        <v>0</v>
      </c>
      <c r="G135" s="638">
        <f>UMYr1!G135 + UMYr2!G135 + UMYr3!G135 + UMYr4!G135 + UMYr5!G135</f>
        <v>0</v>
      </c>
      <c r="H135" s="638">
        <f>UMYr1!H135 + UMYr2!H135 + UMYr3!H135 + UMYr4!H135 + UMYr5!H135</f>
        <v>0</v>
      </c>
      <c r="I135" s="638">
        <f>UMYr1!I135 + UMYr2!I135 + UMYr3!I135 + UMYr4!I135 + UMYr5!I135</f>
        <v>0</v>
      </c>
      <c r="J135" s="638">
        <f>UMYr1!J135 + UMYr2!J135 + UMYr3!J135 + UMYr4!J135 + UMYr5!J135</f>
        <v>0</v>
      </c>
      <c r="K135" s="638">
        <f>Sponsor!P139+J135</f>
        <v>0</v>
      </c>
      <c r="L135" s="638">
        <f>UMYr1!L135 +UMYr2!L135 + UMYr3!L135 + UMYr4!L135 + UMYr5!L135</f>
        <v>0</v>
      </c>
      <c r="M135" s="638">
        <f>UMYr1!M135 +UMYr2!M135 + UMYr3!M135 + UMYr4!M135 + UMYr5!M135</f>
        <v>0</v>
      </c>
      <c r="N135" s="167">
        <f>D135+J135+L135+M135</f>
        <v>0</v>
      </c>
    </row>
    <row r="136" spans="1:14">
      <c r="A136" s="156">
        <f>Sponsor!A140</f>
        <v>60250</v>
      </c>
      <c r="B136" s="116"/>
      <c r="C136" s="102" t="str">
        <f>Sponsor!C140</f>
        <v>Less than $25K</v>
      </c>
      <c r="D136" s="124">
        <f>Sponsor!I140</f>
        <v>0</v>
      </c>
      <c r="E136" s="892" t="s">
        <v>679</v>
      </c>
      <c r="F136" s="920"/>
      <c r="G136" s="920"/>
      <c r="H136" s="920"/>
      <c r="I136" s="921"/>
      <c r="J136" s="673">
        <f>UMYr1!J136 + UMYr2!J136 + UMYr3!J136 + UMYr4!J136 + UMYr5!J136</f>
        <v>0</v>
      </c>
      <c r="K136" s="673">
        <f>D136+J136</f>
        <v>0</v>
      </c>
      <c r="L136" s="888" t="s">
        <v>679</v>
      </c>
      <c r="M136" s="889"/>
      <c r="N136" s="168">
        <f t="shared" si="1"/>
        <v>0</v>
      </c>
    </row>
    <row r="137" spans="1:14">
      <c r="A137" s="156">
        <f>Sponsor!A141</f>
        <v>60270</v>
      </c>
      <c r="B137" s="117"/>
      <c r="C137" s="102" t="str">
        <f>Sponsor!C141</f>
        <v>Greater than $25K</v>
      </c>
      <c r="D137" s="125">
        <f>Sponsor!I141</f>
        <v>0</v>
      </c>
      <c r="E137" s="922"/>
      <c r="F137" s="923"/>
      <c r="G137" s="923"/>
      <c r="H137" s="923"/>
      <c r="I137" s="924"/>
      <c r="J137" s="673">
        <f>UMYr1!J137 + UMYr2!J137 + UMYr3!J137 + UMYr4!J137 + UMYr5!J137</f>
        <v>0</v>
      </c>
      <c r="K137" s="673">
        <f>D137+J137</f>
        <v>0</v>
      </c>
      <c r="L137" s="890"/>
      <c r="M137" s="891"/>
      <c r="N137" s="169">
        <f t="shared" si="1"/>
        <v>0</v>
      </c>
    </row>
    <row r="138" spans="1:14">
      <c r="A138" s="156"/>
      <c r="B138" s="115" t="str">
        <f>Sponsor!B142</f>
        <v>06</v>
      </c>
      <c r="C138" s="677" t="str">
        <f>IF(Sponsor!C142="","",Sponsor!C142)</f>
        <v/>
      </c>
      <c r="D138" s="638">
        <f>Sponsor!I142</f>
        <v>0</v>
      </c>
      <c r="E138" s="678">
        <f>UMYr1!E138 + UMYr2!E138 + UMYr3!E138 + UMYr4!E138 + UMYr5!E138</f>
        <v>0</v>
      </c>
      <c r="F138" s="638">
        <f>UMYr1!F138 + UMYr2!F138 + UMYr3!F138 + UMYr4!F138 + UMYr5!F138</f>
        <v>0</v>
      </c>
      <c r="G138" s="638">
        <f>UMYr1!G138 + UMYr2!G138 + UMYr3!G138 + UMYr4!G138 + UMYr5!G138</f>
        <v>0</v>
      </c>
      <c r="H138" s="638">
        <f>UMYr1!H138 + UMYr2!H138 + UMYr3!H138 + UMYr4!H138 + UMYr5!H138</f>
        <v>0</v>
      </c>
      <c r="I138" s="638">
        <f>UMYr1!I138 + UMYr2!I138 + UMYr3!I138 + UMYr4!I138 + UMYr5!I138</f>
        <v>0</v>
      </c>
      <c r="J138" s="638">
        <f>UMYr1!J138 + UMYr2!J138 + UMYr3!J138 + UMYr4!J138 + UMYr5!J138</f>
        <v>0</v>
      </c>
      <c r="K138" s="638">
        <f>Sponsor!P142+J138</f>
        <v>0</v>
      </c>
      <c r="L138" s="638">
        <f>UMYr1!L138 +UMYr2!L138 + UMYr3!L138 + UMYr4!L138 + UMYr5!L138</f>
        <v>0</v>
      </c>
      <c r="M138" s="638">
        <f>UMYr1!M138 +UMYr2!M138 + UMYr3!M138 + UMYr4!M138 + UMYr5!M138</f>
        <v>0</v>
      </c>
      <c r="N138" s="167">
        <f>D138+J138+L138+M138</f>
        <v>0</v>
      </c>
    </row>
    <row r="139" spans="1:14">
      <c r="A139" s="156">
        <f>Sponsor!A143</f>
        <v>60250</v>
      </c>
      <c r="B139" s="116"/>
      <c r="C139" s="102" t="str">
        <f>Sponsor!C143</f>
        <v>Less than $25K</v>
      </c>
      <c r="D139" s="124">
        <f>Sponsor!I143</f>
        <v>0</v>
      </c>
      <c r="E139" s="892" t="s">
        <v>679</v>
      </c>
      <c r="F139" s="920"/>
      <c r="G139" s="920"/>
      <c r="H139" s="920"/>
      <c r="I139" s="921"/>
      <c r="J139" s="673">
        <f>UMYr1!J139 + UMYr2!J139 + UMYr3!J139 + UMYr4!J139 + UMYr5!J139</f>
        <v>0</v>
      </c>
      <c r="K139" s="673">
        <f>D139+J139</f>
        <v>0</v>
      </c>
      <c r="L139" s="888" t="s">
        <v>679</v>
      </c>
      <c r="M139" s="889"/>
      <c r="N139" s="168">
        <f t="shared" si="1"/>
        <v>0</v>
      </c>
    </row>
    <row r="140" spans="1:14">
      <c r="A140" s="156">
        <f>Sponsor!A144</f>
        <v>60270</v>
      </c>
      <c r="B140" s="117"/>
      <c r="C140" s="102" t="str">
        <f>Sponsor!C144</f>
        <v>Greater than $25K</v>
      </c>
      <c r="D140" s="125">
        <f>Sponsor!I144</f>
        <v>0</v>
      </c>
      <c r="E140" s="922"/>
      <c r="F140" s="923"/>
      <c r="G140" s="923"/>
      <c r="H140" s="923"/>
      <c r="I140" s="924"/>
      <c r="J140" s="673">
        <f>UMYr1!J140 + UMYr2!J140 + UMYr3!J140 + UMYr4!J140 + UMYr5!J140</f>
        <v>0</v>
      </c>
      <c r="K140" s="673">
        <f>D140+J140</f>
        <v>0</v>
      </c>
      <c r="L140" s="890"/>
      <c r="M140" s="891"/>
      <c r="N140" s="169">
        <f t="shared" si="1"/>
        <v>0</v>
      </c>
    </row>
    <row r="141" spans="1:14">
      <c r="A141" s="156"/>
      <c r="B141" s="115" t="str">
        <f>Sponsor!B145</f>
        <v>07</v>
      </c>
      <c r="C141" s="677" t="str">
        <f>IF(Sponsor!C145="","",Sponsor!C145)</f>
        <v/>
      </c>
      <c r="D141" s="638">
        <f>Sponsor!I145</f>
        <v>0</v>
      </c>
      <c r="E141" s="678">
        <f>UMYr1!E141 + UMYr2!E141 + UMYr3!E141 + UMYr4!E141 + UMYr5!E141</f>
        <v>0</v>
      </c>
      <c r="F141" s="638">
        <f>UMYr1!F141 + UMYr2!F141 + UMYr3!F141 + UMYr4!F141 + UMYr5!F141</f>
        <v>0</v>
      </c>
      <c r="G141" s="638">
        <f>UMYr1!G141 + UMYr2!G141 + UMYr3!G141 + UMYr4!G141 + UMYr5!G141</f>
        <v>0</v>
      </c>
      <c r="H141" s="638">
        <f>UMYr1!H141 + UMYr2!H141 + UMYr3!H141 + UMYr4!H141 + UMYr5!H141</f>
        <v>0</v>
      </c>
      <c r="I141" s="638">
        <f>UMYr1!I141 + UMYr2!I141 + UMYr3!I141 + UMYr4!I141 + UMYr5!I141</f>
        <v>0</v>
      </c>
      <c r="J141" s="638">
        <f>UMYr1!J141 + UMYr2!J141 + UMYr3!J141 + UMYr4!J141 + UMYr5!J141</f>
        <v>0</v>
      </c>
      <c r="K141" s="638">
        <f>Sponsor!P145+J141</f>
        <v>0</v>
      </c>
      <c r="L141" s="638">
        <f>UMYr1!L141 +UMYr2!L141 + UMYr3!L141 + UMYr4!L141 + UMYr5!L141</f>
        <v>0</v>
      </c>
      <c r="M141" s="638">
        <f>UMYr1!M141 +UMYr2!M141 + UMYr3!M141 + UMYr4!M141 + UMYr5!M141</f>
        <v>0</v>
      </c>
      <c r="N141" s="167">
        <f>D141+J141+L141+M141</f>
        <v>0</v>
      </c>
    </row>
    <row r="142" spans="1:14">
      <c r="A142" s="156">
        <f>Sponsor!A146</f>
        <v>60250</v>
      </c>
      <c r="B142" s="116"/>
      <c r="C142" s="102" t="str">
        <f>Sponsor!C146</f>
        <v>Less than $25K</v>
      </c>
      <c r="D142" s="124">
        <f>Sponsor!I146</f>
        <v>0</v>
      </c>
      <c r="E142" s="892" t="s">
        <v>679</v>
      </c>
      <c r="F142" s="920"/>
      <c r="G142" s="920"/>
      <c r="H142" s="920"/>
      <c r="I142" s="921"/>
      <c r="J142" s="673">
        <f>UMYr1!J142 + UMYr2!J142 + UMYr3!J142 + UMYr4!J142 + UMYr5!J142</f>
        <v>0</v>
      </c>
      <c r="K142" s="673">
        <f>D142+J142</f>
        <v>0</v>
      </c>
      <c r="L142" s="888" t="s">
        <v>679</v>
      </c>
      <c r="M142" s="889"/>
      <c r="N142" s="168">
        <f t="shared" si="1"/>
        <v>0</v>
      </c>
    </row>
    <row r="143" spans="1:14">
      <c r="A143" s="156">
        <f>Sponsor!A147</f>
        <v>60270</v>
      </c>
      <c r="B143" s="117"/>
      <c r="C143" s="102" t="str">
        <f>Sponsor!C147</f>
        <v>Greater than $25K</v>
      </c>
      <c r="D143" s="125">
        <f>Sponsor!I147</f>
        <v>0</v>
      </c>
      <c r="E143" s="922"/>
      <c r="F143" s="923"/>
      <c r="G143" s="923"/>
      <c r="H143" s="923"/>
      <c r="I143" s="924"/>
      <c r="J143" s="673">
        <f>UMYr1!J143 + UMYr2!J143 + UMYr3!J143 + UMYr4!J143 + UMYr5!J143</f>
        <v>0</v>
      </c>
      <c r="K143" s="673">
        <f>D143+J143</f>
        <v>0</v>
      </c>
      <c r="L143" s="890"/>
      <c r="M143" s="891"/>
      <c r="N143" s="169">
        <f t="shared" si="1"/>
        <v>0</v>
      </c>
    </row>
    <row r="144" spans="1:14">
      <c r="A144" s="156"/>
      <c r="B144" s="115" t="str">
        <f>Sponsor!B148</f>
        <v>08</v>
      </c>
      <c r="C144" s="677" t="str">
        <f>IF(Sponsor!C148="","",Sponsor!C148)</f>
        <v/>
      </c>
      <c r="D144" s="638">
        <f>Sponsor!I148</f>
        <v>0</v>
      </c>
      <c r="E144" s="678">
        <f>UMYr1!E144 + UMYr2!E144 + UMYr3!E144 + UMYr4!E144 + UMYr5!E144</f>
        <v>0</v>
      </c>
      <c r="F144" s="638">
        <f>UMYr1!F144 + UMYr2!F144 + UMYr3!F144 + UMYr4!F144 + UMYr5!F144</f>
        <v>0</v>
      </c>
      <c r="G144" s="638">
        <f>UMYr1!G144 + UMYr2!G144 + UMYr3!G144 + UMYr4!G144 + UMYr5!G144</f>
        <v>0</v>
      </c>
      <c r="H144" s="638">
        <f>UMYr1!H144 + UMYr2!H144 + UMYr3!H144 + UMYr4!H144 + UMYr5!H144</f>
        <v>0</v>
      </c>
      <c r="I144" s="638">
        <f>UMYr1!I144 + UMYr2!I144 + UMYr3!I144 + UMYr4!I144 + UMYr5!I144</f>
        <v>0</v>
      </c>
      <c r="J144" s="638">
        <f>UMYr1!J144 + UMYr2!J144 + UMYr3!J144 + UMYr4!J144 + UMYr5!J144</f>
        <v>0</v>
      </c>
      <c r="K144" s="638">
        <f>Sponsor!P148+J144</f>
        <v>0</v>
      </c>
      <c r="L144" s="638">
        <f>UMYr1!L144 +UMYr2!L144 + UMYr3!L144 + UMYr4!L144 + UMYr5!L144</f>
        <v>0</v>
      </c>
      <c r="M144" s="638">
        <f>UMYr1!M144 +UMYr2!M144 + UMYr3!M144 + UMYr4!M144 + UMYr5!M144</f>
        <v>0</v>
      </c>
      <c r="N144" s="167">
        <f>D144+J144+L144+M144</f>
        <v>0</v>
      </c>
    </row>
    <row r="145" spans="1:14">
      <c r="A145" s="156">
        <f>Sponsor!A149</f>
        <v>60250</v>
      </c>
      <c r="B145" s="116"/>
      <c r="C145" s="102" t="str">
        <f>Sponsor!C149</f>
        <v>Less than $25K</v>
      </c>
      <c r="D145" s="126">
        <f>Sponsor!I149</f>
        <v>0</v>
      </c>
      <c r="E145" s="892" t="s">
        <v>679</v>
      </c>
      <c r="F145" s="920"/>
      <c r="G145" s="920"/>
      <c r="H145" s="920"/>
      <c r="I145" s="921"/>
      <c r="J145" s="673">
        <f>UMYr1!J145 + UMYr2!J145 + UMYr3!J145 + UMYr4!J145 + UMYr5!J145</f>
        <v>0</v>
      </c>
      <c r="K145" s="673">
        <f>D145+J145</f>
        <v>0</v>
      </c>
      <c r="L145" s="888" t="s">
        <v>679</v>
      </c>
      <c r="M145" s="889"/>
      <c r="N145" s="168">
        <f t="shared" si="1"/>
        <v>0</v>
      </c>
    </row>
    <row r="146" spans="1:14">
      <c r="A146" s="156">
        <f>Sponsor!A150</f>
        <v>60270</v>
      </c>
      <c r="B146" s="117"/>
      <c r="C146" s="102" t="str">
        <f>Sponsor!C150</f>
        <v>Greater than $25K</v>
      </c>
      <c r="D146" s="127">
        <f>Sponsor!I150</f>
        <v>0</v>
      </c>
      <c r="E146" s="922"/>
      <c r="F146" s="923"/>
      <c r="G146" s="923"/>
      <c r="H146" s="923"/>
      <c r="I146" s="924"/>
      <c r="J146" s="673">
        <f>UMYr1!J146 + UMYr2!J146 + UMYr3!J146 + UMYr4!J146 + UMYr5!J146</f>
        <v>0</v>
      </c>
      <c r="K146" s="673">
        <f>D146+J146</f>
        <v>0</v>
      </c>
      <c r="L146" s="890"/>
      <c r="M146" s="891"/>
      <c r="N146" s="169">
        <f t="shared" si="1"/>
        <v>0</v>
      </c>
    </row>
    <row r="147" spans="1:14">
      <c r="A147" s="156"/>
      <c r="B147" s="115" t="str">
        <f>Sponsor!B151</f>
        <v>09</v>
      </c>
      <c r="C147" s="677" t="str">
        <f>IF(Sponsor!C151="","",Sponsor!C151)</f>
        <v/>
      </c>
      <c r="D147" s="638">
        <f>Sponsor!I151</f>
        <v>0</v>
      </c>
      <c r="E147" s="678">
        <f>UMYr1!E147 + UMYr2!E147 + UMYr3!E147 + UMYr4!E147 + UMYr5!E147</f>
        <v>0</v>
      </c>
      <c r="F147" s="638">
        <f>UMYr1!F147 + UMYr2!F147 + UMYr3!F147 + UMYr4!F147 + UMYr5!F147</f>
        <v>0</v>
      </c>
      <c r="G147" s="638">
        <f>UMYr1!G147 + UMYr2!G147 + UMYr3!G147 + UMYr4!G147 + UMYr5!G147</f>
        <v>0</v>
      </c>
      <c r="H147" s="638">
        <f>UMYr1!H147 + UMYr2!H147 + UMYr3!H147 + UMYr4!H147 + UMYr5!H147</f>
        <v>0</v>
      </c>
      <c r="I147" s="638">
        <f>UMYr1!I147 + UMYr2!I147 + UMYr3!I147 + UMYr4!I147 + UMYr5!I147</f>
        <v>0</v>
      </c>
      <c r="J147" s="638">
        <f>UMYr1!J147 + UMYr2!J147 + UMYr3!J147 + UMYr4!J147 + UMYr5!J147</f>
        <v>0</v>
      </c>
      <c r="K147" s="638">
        <f>Sponsor!P151+J147</f>
        <v>0</v>
      </c>
      <c r="L147" s="638">
        <f>UMYr1!L147 +UMYr2!L147 + UMYr3!L147 + UMYr4!L147 + UMYr5!L147</f>
        <v>0</v>
      </c>
      <c r="M147" s="638">
        <f>UMYr1!M147 +UMYr2!M147 + UMYr3!M147 + UMYr4!M147 + UMYr5!M147</f>
        <v>0</v>
      </c>
      <c r="N147" s="167">
        <f>D147+J147+L147+M147</f>
        <v>0</v>
      </c>
    </row>
    <row r="148" spans="1:14">
      <c r="A148" s="156">
        <f>Sponsor!A152</f>
        <v>60250</v>
      </c>
      <c r="B148" s="116"/>
      <c r="C148" s="102" t="str">
        <f>Sponsor!C152</f>
        <v>Less than $25K</v>
      </c>
      <c r="D148" s="126">
        <f>Sponsor!I152</f>
        <v>0</v>
      </c>
      <c r="E148" s="892" t="s">
        <v>679</v>
      </c>
      <c r="F148" s="920"/>
      <c r="G148" s="920"/>
      <c r="H148" s="920"/>
      <c r="I148" s="921"/>
      <c r="J148" s="673">
        <f>UMYr1!J148 + UMYr2!J148 + UMYr3!J148 + UMYr4!J148 + UMYr5!J148</f>
        <v>0</v>
      </c>
      <c r="K148" s="673">
        <f>D148+J148</f>
        <v>0</v>
      </c>
      <c r="L148" s="888" t="s">
        <v>679</v>
      </c>
      <c r="M148" s="889"/>
      <c r="N148" s="168">
        <f t="shared" si="1"/>
        <v>0</v>
      </c>
    </row>
    <row r="149" spans="1:14">
      <c r="A149" s="156">
        <f>Sponsor!A153</f>
        <v>60270</v>
      </c>
      <c r="B149" s="117"/>
      <c r="C149" s="102" t="str">
        <f>Sponsor!C153</f>
        <v>Greater than $25K</v>
      </c>
      <c r="D149" s="127">
        <f>Sponsor!I153</f>
        <v>0</v>
      </c>
      <c r="E149" s="922"/>
      <c r="F149" s="923"/>
      <c r="G149" s="923"/>
      <c r="H149" s="923"/>
      <c r="I149" s="924"/>
      <c r="J149" s="673">
        <f>UMYr1!J149 + UMYr2!J149 + UMYr3!J149 + UMYr4!J149 + UMYr5!J149</f>
        <v>0</v>
      </c>
      <c r="K149" s="673">
        <f>D149+J149</f>
        <v>0</v>
      </c>
      <c r="L149" s="890"/>
      <c r="M149" s="891"/>
      <c r="N149" s="169">
        <f t="shared" si="1"/>
        <v>0</v>
      </c>
    </row>
    <row r="150" spans="1:14">
      <c r="A150" s="156"/>
      <c r="B150" s="115">
        <f>Sponsor!B154</f>
        <v>10</v>
      </c>
      <c r="C150" s="677" t="str">
        <f>IF(Sponsor!C154="","",Sponsor!C154)</f>
        <v/>
      </c>
      <c r="D150" s="638">
        <f>Sponsor!I154</f>
        <v>0</v>
      </c>
      <c r="E150" s="678">
        <f>UMYr1!E150 + UMYr2!E150 + UMYr3!E150 + UMYr4!E150 + UMYr5!E150</f>
        <v>0</v>
      </c>
      <c r="F150" s="638">
        <f>UMYr1!F150 + UMYr2!F150 + UMYr3!F150 + UMYr4!F150 + UMYr5!F150</f>
        <v>0</v>
      </c>
      <c r="G150" s="638">
        <f>UMYr1!G150 + UMYr2!G150 + UMYr3!G150 + UMYr4!G150 + UMYr5!G150</f>
        <v>0</v>
      </c>
      <c r="H150" s="638">
        <f>UMYr1!H150 + UMYr2!H150 + UMYr3!H150 + UMYr4!H150 + UMYr5!H150</f>
        <v>0</v>
      </c>
      <c r="I150" s="638">
        <f>UMYr1!I150 + UMYr2!I150 + UMYr3!I150 + UMYr4!I150 + UMYr5!I150</f>
        <v>0</v>
      </c>
      <c r="J150" s="638">
        <f>UMYr1!J150 + UMYr2!J150 + UMYr3!J150 + UMYr4!J150 + UMYr5!J150</f>
        <v>0</v>
      </c>
      <c r="K150" s="638">
        <f>Sponsor!P154+J150</f>
        <v>0</v>
      </c>
      <c r="L150" s="638">
        <f>UMYr1!L150 +UMYr2!L150 + UMYr3!L150 + UMYr4!L150 + UMYr5!L150</f>
        <v>0</v>
      </c>
      <c r="M150" s="638">
        <f>UMYr1!M150 +UMYr2!M150 + UMYr3!M150 + UMYr4!M150 + UMYr5!M150</f>
        <v>0</v>
      </c>
      <c r="N150" s="167">
        <f>D150+J150+L150+M150</f>
        <v>0</v>
      </c>
    </row>
    <row r="151" spans="1:14">
      <c r="A151" s="156">
        <f>Sponsor!A155</f>
        <v>60250</v>
      </c>
      <c r="B151" s="116"/>
      <c r="C151" s="102" t="str">
        <f>Sponsor!C155</f>
        <v>Less than $25K</v>
      </c>
      <c r="D151" s="126">
        <f>Sponsor!I155</f>
        <v>0</v>
      </c>
      <c r="E151" s="892" t="s">
        <v>679</v>
      </c>
      <c r="F151" s="920"/>
      <c r="G151" s="920"/>
      <c r="H151" s="920"/>
      <c r="I151" s="921"/>
      <c r="J151" s="673">
        <f>UMYr1!J151 + UMYr2!J151 + UMYr3!J151 + UMYr4!J151 + UMYr5!J151</f>
        <v>0</v>
      </c>
      <c r="K151" s="673">
        <f>D151+J151</f>
        <v>0</v>
      </c>
      <c r="L151" s="888" t="s">
        <v>679</v>
      </c>
      <c r="M151" s="889"/>
      <c r="N151" s="168">
        <f t="shared" si="1"/>
        <v>0</v>
      </c>
    </row>
    <row r="152" spans="1:14">
      <c r="A152" s="156">
        <f>Sponsor!A156</f>
        <v>60270</v>
      </c>
      <c r="B152" s="116"/>
      <c r="C152" s="102" t="str">
        <f>Sponsor!C156</f>
        <v>Greater than $25K</v>
      </c>
      <c r="D152" s="127">
        <f>Sponsor!I156</f>
        <v>0</v>
      </c>
      <c r="E152" s="922"/>
      <c r="F152" s="923"/>
      <c r="G152" s="923"/>
      <c r="H152" s="923"/>
      <c r="I152" s="924"/>
      <c r="J152" s="673">
        <f>UMYr1!J152 + UMYr2!J152 + UMYr3!J152 + UMYr4!J152 + UMYr5!J152</f>
        <v>0</v>
      </c>
      <c r="K152" s="673">
        <f>D152+J152</f>
        <v>0</v>
      </c>
      <c r="L152" s="890"/>
      <c r="M152" s="891"/>
      <c r="N152" s="169">
        <f t="shared" si="1"/>
        <v>0</v>
      </c>
    </row>
    <row r="153" spans="1:14">
      <c r="A153" s="156"/>
      <c r="B153" s="115">
        <f>Sponsor!B157</f>
        <v>11</v>
      </c>
      <c r="C153" s="677" t="str">
        <f>IF(Sponsor!C157="","",Sponsor!C157)</f>
        <v/>
      </c>
      <c r="D153" s="638">
        <f>Sponsor!I157</f>
        <v>0</v>
      </c>
      <c r="E153" s="678">
        <f>UMYr1!E153 + UMYr2!E153 + UMYr3!E153 + UMYr4!E153 + UMYr5!E153</f>
        <v>0</v>
      </c>
      <c r="F153" s="638">
        <f>UMYr1!F153 + UMYr2!F153 + UMYr3!F153 + UMYr4!F153 + UMYr5!F153</f>
        <v>0</v>
      </c>
      <c r="G153" s="638">
        <f>UMYr1!G153 + UMYr2!G153 + UMYr3!G153 + UMYr4!G153 + UMYr5!G153</f>
        <v>0</v>
      </c>
      <c r="H153" s="638">
        <f>UMYr1!H153 + UMYr2!H153 + UMYr3!H153 + UMYr4!H153 + UMYr5!H153</f>
        <v>0</v>
      </c>
      <c r="I153" s="638">
        <f>UMYr1!I153 + UMYr2!I153 + UMYr3!I153 + UMYr4!I153 + UMYr5!I153</f>
        <v>0</v>
      </c>
      <c r="J153" s="638">
        <f>UMYr1!J153 + UMYr2!J153 + UMYr3!J153 + UMYr4!J153 + UMYr5!J153</f>
        <v>0</v>
      </c>
      <c r="K153" s="638">
        <f>Sponsor!P157+J153</f>
        <v>0</v>
      </c>
      <c r="L153" s="638">
        <f>UMYr1!L153 +UMYr2!L153 + UMYr3!L153 + UMYr4!L153 + UMYr5!L153</f>
        <v>0</v>
      </c>
      <c r="M153" s="638">
        <f>UMYr1!M153 +UMYr2!M153 + UMYr3!M153 + UMYr4!M153 + UMYr5!M153</f>
        <v>0</v>
      </c>
      <c r="N153" s="167">
        <f>D153+J153+L153+M153</f>
        <v>0</v>
      </c>
    </row>
    <row r="154" spans="1:14">
      <c r="A154" s="156">
        <f>Sponsor!A158</f>
        <v>60250</v>
      </c>
      <c r="B154" s="116"/>
      <c r="C154" s="102" t="str">
        <f>Sponsor!C158</f>
        <v>Less than $25K</v>
      </c>
      <c r="D154" s="124">
        <f>Sponsor!I158</f>
        <v>0</v>
      </c>
      <c r="E154" s="892" t="s">
        <v>679</v>
      </c>
      <c r="F154" s="920"/>
      <c r="G154" s="920"/>
      <c r="H154" s="920"/>
      <c r="I154" s="921"/>
      <c r="J154" s="673">
        <f>UMYr1!J154 + UMYr2!J154 + UMYr3!J154 + UMYr4!J154 + UMYr5!J154</f>
        <v>0</v>
      </c>
      <c r="K154" s="673">
        <f>D154+J154</f>
        <v>0</v>
      </c>
      <c r="L154" s="888" t="s">
        <v>679</v>
      </c>
      <c r="M154" s="889"/>
      <c r="N154" s="168">
        <f>D154</f>
        <v>0</v>
      </c>
    </row>
    <row r="155" spans="1:14">
      <c r="A155" s="156">
        <f>Sponsor!A159</f>
        <v>60270</v>
      </c>
      <c r="B155" s="117"/>
      <c r="C155" s="102" t="str">
        <f>Sponsor!C159</f>
        <v>Greater than $25K</v>
      </c>
      <c r="D155" s="125">
        <f>Sponsor!I159</f>
        <v>0</v>
      </c>
      <c r="E155" s="922"/>
      <c r="F155" s="923"/>
      <c r="G155" s="923"/>
      <c r="H155" s="923"/>
      <c r="I155" s="924"/>
      <c r="J155" s="673">
        <f>UMYr1!J155 + UMYr2!J155 + UMYr3!J155 + UMYr4!J155 + UMYr5!J155</f>
        <v>0</v>
      </c>
      <c r="K155" s="673">
        <f>D155+J155</f>
        <v>0</v>
      </c>
      <c r="L155" s="890"/>
      <c r="M155" s="891"/>
      <c r="N155" s="169">
        <f>D155</f>
        <v>0</v>
      </c>
    </row>
    <row r="156" spans="1:14">
      <c r="A156" s="156"/>
      <c r="B156" s="115">
        <f>Sponsor!B160</f>
        <v>12</v>
      </c>
      <c r="C156" s="677" t="str">
        <f>IF(Sponsor!C160="","",Sponsor!C160)</f>
        <v/>
      </c>
      <c r="D156" s="638">
        <f>Sponsor!I160</f>
        <v>0</v>
      </c>
      <c r="E156" s="678">
        <f>UMYr1!E156 + UMYr2!E156 + UMYr3!E156 + UMYr4!E156 + UMYr5!E156</f>
        <v>0</v>
      </c>
      <c r="F156" s="638">
        <f>UMYr1!F156 + UMYr2!F156 + UMYr3!F156 + UMYr4!F156 + UMYr5!F156</f>
        <v>0</v>
      </c>
      <c r="G156" s="638">
        <f>UMYr1!G156 + UMYr2!G156 + UMYr3!G156 + UMYr4!G156 + UMYr5!G156</f>
        <v>0</v>
      </c>
      <c r="H156" s="638">
        <f>UMYr1!H156 + UMYr2!H156 + UMYr3!H156 + UMYr4!H156 + UMYr5!H156</f>
        <v>0</v>
      </c>
      <c r="I156" s="638">
        <f>UMYr1!I156 + UMYr2!I156 + UMYr3!I156 + UMYr4!I156 + UMYr5!I156</f>
        <v>0</v>
      </c>
      <c r="J156" s="638">
        <f>UMYr1!J156 + UMYr2!J156 + UMYr3!J156 + UMYr4!J156 + UMYr5!J156</f>
        <v>0</v>
      </c>
      <c r="K156" s="638">
        <f>Sponsor!P160+J156</f>
        <v>0</v>
      </c>
      <c r="L156" s="638">
        <f>UMYr1!L156 +UMYr2!L156 + UMYr3!L156 + UMYr4!L156 + UMYr5!L156</f>
        <v>0</v>
      </c>
      <c r="M156" s="638">
        <f>UMYr1!M156 +UMYr2!M156 + UMYr3!M156 + UMYr4!M156 + UMYr5!M156</f>
        <v>0</v>
      </c>
      <c r="N156" s="167">
        <f>D156+J156+L156+M156</f>
        <v>0</v>
      </c>
    </row>
    <row r="157" spans="1:14">
      <c r="A157" s="156">
        <f>Sponsor!A161</f>
        <v>60250</v>
      </c>
      <c r="B157" s="116"/>
      <c r="C157" s="102" t="str">
        <f>Sponsor!C161</f>
        <v>Less than $25K</v>
      </c>
      <c r="D157" s="124">
        <f>Sponsor!I161</f>
        <v>0</v>
      </c>
      <c r="E157" s="892" t="s">
        <v>679</v>
      </c>
      <c r="F157" s="920"/>
      <c r="G157" s="920"/>
      <c r="H157" s="920"/>
      <c r="I157" s="921"/>
      <c r="J157" s="673">
        <f>UMYr1!J157 + UMYr2!J157 + UMYr3!J157 + UMYr4!J157 + UMYr5!J157</f>
        <v>0</v>
      </c>
      <c r="K157" s="673">
        <f>D157+J157</f>
        <v>0</v>
      </c>
      <c r="L157" s="888" t="s">
        <v>679</v>
      </c>
      <c r="M157" s="889"/>
      <c r="N157" s="168">
        <f>D157</f>
        <v>0</v>
      </c>
    </row>
    <row r="158" spans="1:14">
      <c r="A158" s="156">
        <f>Sponsor!A162</f>
        <v>60270</v>
      </c>
      <c r="B158" s="117"/>
      <c r="C158" s="102" t="str">
        <f>Sponsor!C162</f>
        <v>Greater than $25K</v>
      </c>
      <c r="D158" s="125">
        <f>Sponsor!I162</f>
        <v>0</v>
      </c>
      <c r="E158" s="922"/>
      <c r="F158" s="923"/>
      <c r="G158" s="923"/>
      <c r="H158" s="923"/>
      <c r="I158" s="924"/>
      <c r="J158" s="673">
        <f>UMYr1!J158 + UMYr2!J158 + UMYr3!J158 + UMYr4!J158 + UMYr5!J158</f>
        <v>0</v>
      </c>
      <c r="K158" s="673">
        <f>D158+J158</f>
        <v>0</v>
      </c>
      <c r="L158" s="890"/>
      <c r="M158" s="891"/>
      <c r="N158" s="169">
        <f>D158</f>
        <v>0</v>
      </c>
    </row>
    <row r="159" spans="1:14">
      <c r="A159" s="156"/>
      <c r="B159" s="115">
        <f>Sponsor!B163</f>
        <v>13</v>
      </c>
      <c r="C159" s="677" t="str">
        <f>IF(Sponsor!C163="","",Sponsor!C163)</f>
        <v/>
      </c>
      <c r="D159" s="638">
        <f>Sponsor!I163</f>
        <v>0</v>
      </c>
      <c r="E159" s="678">
        <f>UMYr1!E159 + UMYr2!E159 + UMYr3!E159 + UMYr4!E159 + UMYr5!E159</f>
        <v>0</v>
      </c>
      <c r="F159" s="638">
        <f>UMYr1!F159 + UMYr2!F159 + UMYr3!F159 + UMYr4!F159 + UMYr5!F159</f>
        <v>0</v>
      </c>
      <c r="G159" s="638">
        <f>UMYr1!G159 + UMYr2!G159 + UMYr3!G159 + UMYr4!G159 + UMYr5!G159</f>
        <v>0</v>
      </c>
      <c r="H159" s="638">
        <f>UMYr1!H159 + UMYr2!H159 + UMYr3!H159 + UMYr4!H159 + UMYr5!H159</f>
        <v>0</v>
      </c>
      <c r="I159" s="638">
        <f>UMYr1!I159 + UMYr2!I159 + UMYr3!I159 + UMYr4!I159 + UMYr5!I159</f>
        <v>0</v>
      </c>
      <c r="J159" s="638">
        <f>UMYr1!J159 + UMYr2!J159 + UMYr3!J159 + UMYr4!J159 + UMYr5!J159</f>
        <v>0</v>
      </c>
      <c r="K159" s="638">
        <f>Sponsor!P163+J159</f>
        <v>0</v>
      </c>
      <c r="L159" s="638">
        <f>UMYr1!L159 +UMYr2!L159 + UMYr3!L159 + UMYr4!L159 + UMYr5!L159</f>
        <v>0</v>
      </c>
      <c r="M159" s="638">
        <f>UMYr1!M159 +UMYr2!M159 + UMYr3!M159 + UMYr4!M159 + UMYr5!M159</f>
        <v>0</v>
      </c>
      <c r="N159" s="167">
        <f>D159+J159+L159+M159</f>
        <v>0</v>
      </c>
    </row>
    <row r="160" spans="1:14">
      <c r="A160" s="156">
        <f>Sponsor!A164</f>
        <v>60250</v>
      </c>
      <c r="B160" s="116"/>
      <c r="C160" s="102" t="str">
        <f>Sponsor!C164</f>
        <v>Less than $25K</v>
      </c>
      <c r="D160" s="124">
        <f>Sponsor!I164</f>
        <v>0</v>
      </c>
      <c r="E160" s="892" t="s">
        <v>679</v>
      </c>
      <c r="F160" s="920"/>
      <c r="G160" s="920"/>
      <c r="H160" s="920"/>
      <c r="I160" s="921"/>
      <c r="J160" s="673">
        <f>UMYr1!J160 + UMYr2!J160 + UMYr3!J160 + UMYr4!J160 + UMYr5!J160</f>
        <v>0</v>
      </c>
      <c r="K160" s="673">
        <f>D160+J160</f>
        <v>0</v>
      </c>
      <c r="L160" s="888" t="s">
        <v>679</v>
      </c>
      <c r="M160" s="889"/>
      <c r="N160" s="168">
        <f>D160</f>
        <v>0</v>
      </c>
    </row>
    <row r="161" spans="1:14">
      <c r="A161" s="156">
        <f>Sponsor!A165</f>
        <v>60270</v>
      </c>
      <c r="B161" s="117"/>
      <c r="C161" s="102" t="str">
        <f>Sponsor!C165</f>
        <v>Greater than $25K</v>
      </c>
      <c r="D161" s="125">
        <f>Sponsor!I165</f>
        <v>0</v>
      </c>
      <c r="E161" s="922"/>
      <c r="F161" s="923"/>
      <c r="G161" s="923"/>
      <c r="H161" s="923"/>
      <c r="I161" s="924"/>
      <c r="J161" s="673">
        <f>UMYr1!J161 + UMYr2!J161 + UMYr3!J161 + UMYr4!J161 + UMYr5!J161</f>
        <v>0</v>
      </c>
      <c r="K161" s="673">
        <f>D161+J161</f>
        <v>0</v>
      </c>
      <c r="L161" s="890"/>
      <c r="M161" s="891"/>
      <c r="N161" s="169">
        <f>D161</f>
        <v>0</v>
      </c>
    </row>
    <row r="162" spans="1:14" s="256" customFormat="1">
      <c r="A162" s="156"/>
      <c r="B162" s="115">
        <f>Sponsor!B166</f>
        <v>14</v>
      </c>
      <c r="C162" s="677" t="str">
        <f>IF(Sponsor!C166="","",Sponsor!C166)</f>
        <v/>
      </c>
      <c r="D162" s="638">
        <f>Sponsor!I166</f>
        <v>0</v>
      </c>
      <c r="E162" s="678">
        <f>UMYr1!E162 + UMYr2!E162 + UMYr3!E162 + UMYr4!E162 + UMYr5!E162</f>
        <v>0</v>
      </c>
      <c r="F162" s="638">
        <f>UMYr1!F162 + UMYr2!F162 + UMYr3!F162 + UMYr4!F162 + UMYr5!F162</f>
        <v>0</v>
      </c>
      <c r="G162" s="638">
        <f>UMYr1!G162 + UMYr2!G162 + UMYr3!G162 + UMYr4!G162 + UMYr5!G162</f>
        <v>0</v>
      </c>
      <c r="H162" s="638">
        <f>UMYr1!H162 + UMYr2!H162 + UMYr3!H162 + UMYr4!H162 + UMYr5!H162</f>
        <v>0</v>
      </c>
      <c r="I162" s="638">
        <f>UMYr1!I162 + UMYr2!I162 + UMYr3!I162 + UMYr4!I162 + UMYr5!I162</f>
        <v>0</v>
      </c>
      <c r="J162" s="638">
        <f>UMYr1!J162 + UMYr2!J162 + UMYr3!J162 + UMYr4!J162 + UMYr5!J162</f>
        <v>0</v>
      </c>
      <c r="K162" s="638">
        <f>Sponsor!P166+J162</f>
        <v>0</v>
      </c>
      <c r="L162" s="638">
        <f>UMYr1!L162 +UMYr2!L162 + UMYr3!L162 + UMYr4!L162 + UMYr5!L162</f>
        <v>0</v>
      </c>
      <c r="M162" s="638">
        <f>UMYr1!M162 +UMYr2!M162 + UMYr3!M162 + UMYr4!M162 + UMYr5!M162</f>
        <v>0</v>
      </c>
      <c r="N162" s="167">
        <f>D162+J162+L162+M162</f>
        <v>0</v>
      </c>
    </row>
    <row r="163" spans="1:14">
      <c r="A163" s="156">
        <f>Sponsor!A167</f>
        <v>60250</v>
      </c>
      <c r="B163" s="116"/>
      <c r="C163" s="102" t="str">
        <f>Sponsor!C167</f>
        <v>Less than $25K</v>
      </c>
      <c r="D163" s="124">
        <f>Sponsor!I167</f>
        <v>0</v>
      </c>
      <c r="E163" s="892" t="s">
        <v>679</v>
      </c>
      <c r="F163" s="920"/>
      <c r="G163" s="920"/>
      <c r="H163" s="920"/>
      <c r="I163" s="921"/>
      <c r="J163" s="673">
        <f>UMYr1!J163 + UMYr2!J163 + UMYr3!J163 + UMYr4!J163 + UMYr5!J163</f>
        <v>0</v>
      </c>
      <c r="K163" s="673">
        <f>D163+J163</f>
        <v>0</v>
      </c>
      <c r="L163" s="888" t="s">
        <v>679</v>
      </c>
      <c r="M163" s="889"/>
      <c r="N163" s="168">
        <f>D163</f>
        <v>0</v>
      </c>
    </row>
    <row r="164" spans="1:14">
      <c r="A164" s="156">
        <f>Sponsor!A168</f>
        <v>60270</v>
      </c>
      <c r="B164" s="117"/>
      <c r="C164" s="102" t="str">
        <f>Sponsor!C168</f>
        <v>Greater than $25K</v>
      </c>
      <c r="D164" s="125">
        <f>Sponsor!I168</f>
        <v>0</v>
      </c>
      <c r="E164" s="922"/>
      <c r="F164" s="923"/>
      <c r="G164" s="923"/>
      <c r="H164" s="923"/>
      <c r="I164" s="924"/>
      <c r="J164" s="673">
        <f>UMYr1!J164 + UMYr2!J164 + UMYr3!J164 + UMYr4!J164 + UMYr5!J164</f>
        <v>0</v>
      </c>
      <c r="K164" s="673">
        <f>D164+J164</f>
        <v>0</v>
      </c>
      <c r="L164" s="890"/>
      <c r="M164" s="891"/>
      <c r="N164" s="169">
        <f>D164</f>
        <v>0</v>
      </c>
    </row>
    <row r="165" spans="1:14">
      <c r="A165" s="156"/>
      <c r="B165" s="115">
        <f>Sponsor!B169</f>
        <v>15</v>
      </c>
      <c r="C165" s="677" t="str">
        <f>IF(Sponsor!C169="","",Sponsor!C169)</f>
        <v/>
      </c>
      <c r="D165" s="638">
        <f>Sponsor!I169</f>
        <v>0</v>
      </c>
      <c r="E165" s="678">
        <f>UMYr1!E165 + UMYr2!E165 + UMYr3!E165 + UMYr4!E165 + UMYr5!E165</f>
        <v>0</v>
      </c>
      <c r="F165" s="638">
        <f>UMYr1!F165 + UMYr2!F165 + UMYr3!F165 + UMYr4!F165 + UMYr5!F165</f>
        <v>0</v>
      </c>
      <c r="G165" s="638">
        <f>UMYr1!G165 + UMYr2!G165 + UMYr3!G165 + UMYr4!G165 + UMYr5!G165</f>
        <v>0</v>
      </c>
      <c r="H165" s="638">
        <f>UMYr1!H165 + UMYr2!H165 + UMYr3!H165 + UMYr4!H165 + UMYr5!H165</f>
        <v>0</v>
      </c>
      <c r="I165" s="638">
        <f>UMYr1!I165 + UMYr2!I165 + UMYr3!I165 + UMYr4!I165 + UMYr5!I165</f>
        <v>0</v>
      </c>
      <c r="J165" s="638">
        <f>UMYr1!J165 + UMYr2!J165 + UMYr3!J165 + UMYr4!J165 + UMYr5!J165</f>
        <v>0</v>
      </c>
      <c r="K165" s="638">
        <f>Sponsor!P169+J165</f>
        <v>0</v>
      </c>
      <c r="L165" s="638">
        <f>UMYr1!L165 +UMYr2!L165 + UMYr3!L165 + UMYr4!L165 + UMYr5!L165</f>
        <v>0</v>
      </c>
      <c r="M165" s="638">
        <f>UMYr1!M165 +UMYr2!M165 + UMYr3!M165 + UMYr4!M165 + UMYr5!M165</f>
        <v>0</v>
      </c>
      <c r="N165" s="167">
        <f>D165+J165+L165+M165</f>
        <v>0</v>
      </c>
    </row>
    <row r="166" spans="1:14">
      <c r="A166" s="156">
        <f>Sponsor!A170</f>
        <v>60250</v>
      </c>
      <c r="B166" s="116"/>
      <c r="C166" s="102" t="str">
        <f>Sponsor!C170</f>
        <v>Less than $25K</v>
      </c>
      <c r="D166" s="124">
        <f>Sponsor!I170</f>
        <v>0</v>
      </c>
      <c r="E166" s="892" t="s">
        <v>679</v>
      </c>
      <c r="F166" s="920"/>
      <c r="G166" s="920"/>
      <c r="H166" s="920"/>
      <c r="I166" s="921"/>
      <c r="J166" s="673">
        <f>UMYr1!J166 + UMYr2!J166 + UMYr3!J166 + UMYr4!J166 + UMYr5!J166</f>
        <v>0</v>
      </c>
      <c r="K166" s="673">
        <f>D166+J166</f>
        <v>0</v>
      </c>
      <c r="L166" s="888" t="s">
        <v>679</v>
      </c>
      <c r="M166" s="889"/>
      <c r="N166" s="168">
        <f>D166</f>
        <v>0</v>
      </c>
    </row>
    <row r="167" spans="1:14">
      <c r="A167" s="156">
        <f>Sponsor!A171</f>
        <v>60270</v>
      </c>
      <c r="B167" s="117"/>
      <c r="C167" s="102" t="str">
        <f>Sponsor!C171</f>
        <v>Greater than $25K</v>
      </c>
      <c r="D167" s="125">
        <f>Sponsor!I171</f>
        <v>0</v>
      </c>
      <c r="E167" s="922"/>
      <c r="F167" s="923"/>
      <c r="G167" s="923"/>
      <c r="H167" s="923"/>
      <c r="I167" s="924"/>
      <c r="J167" s="673">
        <f>UMYr1!J167 + UMYr2!J167 + UMYr3!J167 + UMYr4!J167 + UMYr5!J167</f>
        <v>0</v>
      </c>
      <c r="K167" s="673">
        <f>D167+J167</f>
        <v>0</v>
      </c>
      <c r="L167" s="890"/>
      <c r="M167" s="891"/>
      <c r="N167" s="169">
        <f>D167</f>
        <v>0</v>
      </c>
    </row>
    <row r="168" spans="1:14">
      <c r="A168" s="156"/>
      <c r="B168" s="115">
        <f>Sponsor!B172</f>
        <v>16</v>
      </c>
      <c r="C168" s="677" t="str">
        <f>IF(Sponsor!C172="","",Sponsor!C172)</f>
        <v/>
      </c>
      <c r="D168" s="638">
        <f>Sponsor!I172</f>
        <v>0</v>
      </c>
      <c r="E168" s="678">
        <f>UMYr1!E168 + UMYr2!E168 + UMYr3!E168 + UMYr4!E168 + UMYr5!E168</f>
        <v>0</v>
      </c>
      <c r="F168" s="638">
        <f>UMYr1!F168 + UMYr2!F168 + UMYr3!F168 + UMYr4!F168 + UMYr5!F168</f>
        <v>0</v>
      </c>
      <c r="G168" s="638">
        <f>UMYr1!G168 + UMYr2!G168 + UMYr3!G168 + UMYr4!G168 + UMYr5!G168</f>
        <v>0</v>
      </c>
      <c r="H168" s="638">
        <f>UMYr1!H168 + UMYr2!H168 + UMYr3!H168 + UMYr4!H168 + UMYr5!H168</f>
        <v>0</v>
      </c>
      <c r="I168" s="638">
        <f>UMYr1!I168 + UMYr2!I168 + UMYr3!I168 + UMYr4!I168 + UMYr5!I168</f>
        <v>0</v>
      </c>
      <c r="J168" s="638">
        <f>UMYr1!J168 + UMYr2!J168 + UMYr3!J168 + UMYr4!J168 + UMYr5!J168</f>
        <v>0</v>
      </c>
      <c r="K168" s="638">
        <f>Sponsor!P172+J168</f>
        <v>0</v>
      </c>
      <c r="L168" s="638">
        <f>UMYr1!L168 +UMYr2!L168 + UMYr3!L168 + UMYr4!L168 + UMYr5!L168</f>
        <v>0</v>
      </c>
      <c r="M168" s="638">
        <f>UMYr1!M168 +UMYr2!M168 + UMYr3!M168 + UMYr4!M168 + UMYr5!M168</f>
        <v>0</v>
      </c>
      <c r="N168" s="167">
        <f>D168+J168+L168+M168</f>
        <v>0</v>
      </c>
    </row>
    <row r="169" spans="1:14">
      <c r="A169" s="156">
        <f>Sponsor!A173</f>
        <v>60250</v>
      </c>
      <c r="B169" s="116"/>
      <c r="C169" s="102" t="str">
        <f>Sponsor!C173</f>
        <v>Less than $25K</v>
      </c>
      <c r="D169" s="124">
        <f>Sponsor!I173</f>
        <v>0</v>
      </c>
      <c r="E169" s="892" t="s">
        <v>679</v>
      </c>
      <c r="F169" s="920"/>
      <c r="G169" s="920"/>
      <c r="H169" s="920"/>
      <c r="I169" s="921"/>
      <c r="J169" s="673">
        <f>UMYr1!J169 + UMYr2!J169 + UMYr3!J169 + UMYr4!J169 + UMYr5!J169</f>
        <v>0</v>
      </c>
      <c r="K169" s="673">
        <f>D169+J169</f>
        <v>0</v>
      </c>
      <c r="L169" s="888" t="s">
        <v>679</v>
      </c>
      <c r="M169" s="889"/>
      <c r="N169" s="168">
        <f>D169</f>
        <v>0</v>
      </c>
    </row>
    <row r="170" spans="1:14">
      <c r="A170" s="156">
        <f>Sponsor!A174</f>
        <v>60270</v>
      </c>
      <c r="B170" s="117"/>
      <c r="C170" s="102" t="str">
        <f>Sponsor!C174</f>
        <v>Greater than $25K</v>
      </c>
      <c r="D170" s="125">
        <f>Sponsor!I174</f>
        <v>0</v>
      </c>
      <c r="E170" s="922"/>
      <c r="F170" s="923"/>
      <c r="G170" s="923"/>
      <c r="H170" s="923"/>
      <c r="I170" s="924"/>
      <c r="J170" s="673">
        <f>UMYr1!J170 + UMYr2!J170 + UMYr3!J170 + UMYr4!J170 + UMYr5!J170</f>
        <v>0</v>
      </c>
      <c r="K170" s="673">
        <f>D170+J170</f>
        <v>0</v>
      </c>
      <c r="L170" s="890"/>
      <c r="M170" s="891"/>
      <c r="N170" s="169">
        <f>D170</f>
        <v>0</v>
      </c>
    </row>
    <row r="171" spans="1:14">
      <c r="A171" s="156"/>
      <c r="B171" s="115">
        <f>Sponsor!B175</f>
        <v>17</v>
      </c>
      <c r="C171" s="677" t="str">
        <f>IF(Sponsor!C175="","",Sponsor!C175)</f>
        <v/>
      </c>
      <c r="D171" s="638">
        <f>Sponsor!I175</f>
        <v>0</v>
      </c>
      <c r="E171" s="678">
        <f>UMYr1!E171 + UMYr2!E171 + UMYr3!E171 + UMYr4!E171 + UMYr5!E171</f>
        <v>0</v>
      </c>
      <c r="F171" s="638">
        <f>UMYr1!F171 + UMYr2!F171 + UMYr3!F171 + UMYr4!F171 + UMYr5!F171</f>
        <v>0</v>
      </c>
      <c r="G171" s="638">
        <f>UMYr1!G171 + UMYr2!G171 + UMYr3!G171 + UMYr4!G171 + UMYr5!G171</f>
        <v>0</v>
      </c>
      <c r="H171" s="638">
        <f>UMYr1!H171 + UMYr2!H171 + UMYr3!H171 + UMYr4!H171 + UMYr5!H171</f>
        <v>0</v>
      </c>
      <c r="I171" s="638">
        <f>UMYr1!I171 + UMYr2!I171 + UMYr3!I171 + UMYr4!I171 + UMYr5!I171</f>
        <v>0</v>
      </c>
      <c r="J171" s="638">
        <f>UMYr1!J171 + UMYr2!J171 + UMYr3!J171 + UMYr4!J171 + UMYr5!J171</f>
        <v>0</v>
      </c>
      <c r="K171" s="638">
        <f>Sponsor!P175+J171</f>
        <v>0</v>
      </c>
      <c r="L171" s="638">
        <f>UMYr1!L171 +UMYr2!L171 + UMYr3!L171 + UMYr4!L171 + UMYr5!L171</f>
        <v>0</v>
      </c>
      <c r="M171" s="638">
        <f>UMYr1!M171 +UMYr2!M171 + UMYr3!M171 + UMYr4!M171 + UMYr5!M171</f>
        <v>0</v>
      </c>
      <c r="N171" s="167">
        <f>D171+J171+L171+M171</f>
        <v>0</v>
      </c>
    </row>
    <row r="172" spans="1:14">
      <c r="A172" s="156">
        <f>Sponsor!A176</f>
        <v>60250</v>
      </c>
      <c r="B172" s="116"/>
      <c r="C172" s="102" t="str">
        <f>Sponsor!C176</f>
        <v>Less than $25K</v>
      </c>
      <c r="D172" s="124">
        <f>Sponsor!I176</f>
        <v>0</v>
      </c>
      <c r="E172" s="892" t="s">
        <v>679</v>
      </c>
      <c r="F172" s="920"/>
      <c r="G172" s="920"/>
      <c r="H172" s="920"/>
      <c r="I172" s="921"/>
      <c r="J172" s="673">
        <f>UMYr1!J172 + UMYr2!J172 + UMYr3!J172 + UMYr4!J172 + UMYr5!J172</f>
        <v>0</v>
      </c>
      <c r="K172" s="673">
        <f>D172+J172</f>
        <v>0</v>
      </c>
      <c r="L172" s="888" t="s">
        <v>679</v>
      </c>
      <c r="M172" s="889"/>
      <c r="N172" s="168">
        <f>D172</f>
        <v>0</v>
      </c>
    </row>
    <row r="173" spans="1:14">
      <c r="A173" s="156">
        <f>Sponsor!A177</f>
        <v>60270</v>
      </c>
      <c r="B173" s="117"/>
      <c r="C173" s="102" t="str">
        <f>Sponsor!C177</f>
        <v>Greater than $25K</v>
      </c>
      <c r="D173" s="125">
        <f>Sponsor!I177</f>
        <v>0</v>
      </c>
      <c r="E173" s="922"/>
      <c r="F173" s="923"/>
      <c r="G173" s="923"/>
      <c r="H173" s="923"/>
      <c r="I173" s="924"/>
      <c r="J173" s="673">
        <f>UMYr1!J173 + UMYr2!J173 + UMYr3!J173 + UMYr4!J173 + UMYr5!J173</f>
        <v>0</v>
      </c>
      <c r="K173" s="673">
        <f>D173+J173</f>
        <v>0</v>
      </c>
      <c r="L173" s="890"/>
      <c r="M173" s="891"/>
      <c r="N173" s="169">
        <f>D173</f>
        <v>0</v>
      </c>
    </row>
    <row r="174" spans="1:14">
      <c r="A174" s="156"/>
      <c r="B174" s="115">
        <f>Sponsor!B178</f>
        <v>18</v>
      </c>
      <c r="C174" s="677" t="str">
        <f>IF(Sponsor!C178="","",Sponsor!C178)</f>
        <v/>
      </c>
      <c r="D174" s="638">
        <f>Sponsor!I178</f>
        <v>0</v>
      </c>
      <c r="E174" s="678">
        <f>UMYr1!E174 + UMYr2!E174 + UMYr3!E174 + UMYr4!E174 + UMYr5!E174</f>
        <v>0</v>
      </c>
      <c r="F174" s="638">
        <f>UMYr1!F174 + UMYr2!F174 + UMYr3!F174 + UMYr4!F174 + UMYr5!F174</f>
        <v>0</v>
      </c>
      <c r="G174" s="638">
        <f>UMYr1!G174 + UMYr2!G174 + UMYr3!G174 + UMYr4!G174 + UMYr5!G174</f>
        <v>0</v>
      </c>
      <c r="H174" s="638">
        <f>UMYr1!H174 + UMYr2!H174 + UMYr3!H174 + UMYr4!H174 + UMYr5!H174</f>
        <v>0</v>
      </c>
      <c r="I174" s="638">
        <f>UMYr1!I174 + UMYr2!I174 + UMYr3!I174 + UMYr4!I174 + UMYr5!I174</f>
        <v>0</v>
      </c>
      <c r="J174" s="638">
        <f>UMYr1!J174 + UMYr2!J174 + UMYr3!J174 + UMYr4!J174 + UMYr5!J174</f>
        <v>0</v>
      </c>
      <c r="K174" s="638">
        <f>Sponsor!P178+J174</f>
        <v>0</v>
      </c>
      <c r="L174" s="638">
        <f>UMYr1!L174 +UMYr2!L174 + UMYr3!L174 + UMYr4!L174 + UMYr5!L174</f>
        <v>0</v>
      </c>
      <c r="M174" s="638">
        <f>UMYr1!M174 +UMYr2!M174 + UMYr3!M174 + UMYr4!M174 + UMYr5!M174</f>
        <v>0</v>
      </c>
      <c r="N174" s="167">
        <f>D174+J174+L174+M174</f>
        <v>0</v>
      </c>
    </row>
    <row r="175" spans="1:14">
      <c r="A175" s="156">
        <f>Sponsor!A179</f>
        <v>60250</v>
      </c>
      <c r="B175" s="116"/>
      <c r="C175" s="102" t="str">
        <f>Sponsor!C179</f>
        <v>Less than $25K</v>
      </c>
      <c r="D175" s="126">
        <f>Sponsor!I179</f>
        <v>0</v>
      </c>
      <c r="E175" s="892" t="s">
        <v>679</v>
      </c>
      <c r="F175" s="920"/>
      <c r="G175" s="920"/>
      <c r="H175" s="920"/>
      <c r="I175" s="921"/>
      <c r="J175" s="673">
        <f>UMYr1!J175 + UMYr2!J175 + UMYr3!J175 + UMYr4!J175 + UMYr5!J175</f>
        <v>0</v>
      </c>
      <c r="K175" s="673">
        <f>D175+J175</f>
        <v>0</v>
      </c>
      <c r="L175" s="888" t="s">
        <v>679</v>
      </c>
      <c r="M175" s="889"/>
      <c r="N175" s="168">
        <f>D175</f>
        <v>0</v>
      </c>
    </row>
    <row r="176" spans="1:14">
      <c r="A176" s="156">
        <f>Sponsor!A180</f>
        <v>60270</v>
      </c>
      <c r="B176" s="117"/>
      <c r="C176" s="102" t="str">
        <f>Sponsor!C180</f>
        <v>Greater than $25K</v>
      </c>
      <c r="D176" s="127">
        <f>Sponsor!I180</f>
        <v>0</v>
      </c>
      <c r="E176" s="922"/>
      <c r="F176" s="923"/>
      <c r="G176" s="923"/>
      <c r="H176" s="923"/>
      <c r="I176" s="924"/>
      <c r="J176" s="673">
        <f>UMYr1!J176 + UMYr2!J176 + UMYr3!J176 + UMYr4!J176 + UMYr5!J176</f>
        <v>0</v>
      </c>
      <c r="K176" s="673">
        <f>D176+J176</f>
        <v>0</v>
      </c>
      <c r="L176" s="890"/>
      <c r="M176" s="891"/>
      <c r="N176" s="169">
        <f>D176</f>
        <v>0</v>
      </c>
    </row>
    <row r="177" spans="1:14">
      <c r="A177" s="156"/>
      <c r="B177" s="115">
        <f>Sponsor!B181</f>
        <v>19</v>
      </c>
      <c r="C177" s="677" t="str">
        <f>IF(Sponsor!C181="","",Sponsor!C181)</f>
        <v/>
      </c>
      <c r="D177" s="638">
        <f>Sponsor!I181</f>
        <v>0</v>
      </c>
      <c r="E177" s="678">
        <f>UMYr1!E177 + UMYr2!E177 + UMYr3!E177 + UMYr4!E177 + UMYr5!E177</f>
        <v>0</v>
      </c>
      <c r="F177" s="638">
        <f>UMYr1!F177 + UMYr2!F177 + UMYr3!F177 + UMYr4!F177 + UMYr5!F177</f>
        <v>0</v>
      </c>
      <c r="G177" s="638">
        <f>UMYr1!G177 + UMYr2!G177 + UMYr3!G177 + UMYr4!G177 + UMYr5!G177</f>
        <v>0</v>
      </c>
      <c r="H177" s="638">
        <f>UMYr1!H177 + UMYr2!H177 + UMYr3!H177 + UMYr4!H177 + UMYr5!H177</f>
        <v>0</v>
      </c>
      <c r="I177" s="638">
        <f>UMYr1!I177 + UMYr2!I177 + UMYr3!I177 + UMYr4!I177 + UMYr5!I177</f>
        <v>0</v>
      </c>
      <c r="J177" s="638">
        <f>UMYr1!J177 + UMYr2!J177 + UMYr3!J177 + UMYr4!J177 + UMYr5!J177</f>
        <v>0</v>
      </c>
      <c r="K177" s="638">
        <f>Sponsor!P181+J177</f>
        <v>0</v>
      </c>
      <c r="L177" s="638">
        <f>UMYr1!L177 +UMYr2!L177 + UMYr3!L177 + UMYr4!L177 + UMYr5!L177</f>
        <v>0</v>
      </c>
      <c r="M177" s="638">
        <f>UMYr1!M177 +UMYr2!M177 + UMYr3!M177 + UMYr4!M177 + UMYr5!M177</f>
        <v>0</v>
      </c>
      <c r="N177" s="167">
        <f>D177+J177+L177+M177</f>
        <v>0</v>
      </c>
    </row>
    <row r="178" spans="1:14">
      <c r="A178" s="156">
        <f>Sponsor!A182</f>
        <v>60250</v>
      </c>
      <c r="B178" s="116"/>
      <c r="C178" s="102" t="str">
        <f>Sponsor!C182</f>
        <v>Less than $25K</v>
      </c>
      <c r="D178" s="126">
        <f>Sponsor!I182</f>
        <v>0</v>
      </c>
      <c r="E178" s="892" t="s">
        <v>679</v>
      </c>
      <c r="F178" s="920"/>
      <c r="G178" s="920"/>
      <c r="H178" s="920"/>
      <c r="I178" s="921"/>
      <c r="J178" s="673">
        <f>UMYr1!J178 + UMYr2!J178 + UMYr3!J178 + UMYr4!J178 + UMYr5!J178</f>
        <v>0</v>
      </c>
      <c r="K178" s="673">
        <f>D178+J178</f>
        <v>0</v>
      </c>
      <c r="L178" s="888" t="s">
        <v>679</v>
      </c>
      <c r="M178" s="889"/>
      <c r="N178" s="168">
        <f>D178</f>
        <v>0</v>
      </c>
    </row>
    <row r="179" spans="1:14">
      <c r="A179" s="156">
        <f>Sponsor!A183</f>
        <v>60270</v>
      </c>
      <c r="B179" s="117"/>
      <c r="C179" s="102" t="str">
        <f>Sponsor!C183</f>
        <v>Greater than $25K</v>
      </c>
      <c r="D179" s="127">
        <f>Sponsor!I183</f>
        <v>0</v>
      </c>
      <c r="E179" s="922"/>
      <c r="F179" s="923"/>
      <c r="G179" s="923"/>
      <c r="H179" s="923"/>
      <c r="I179" s="924"/>
      <c r="J179" s="673">
        <f>UMYr1!J179 + UMYr2!J179 + UMYr3!J179 + UMYr4!J179 + UMYr5!J179</f>
        <v>0</v>
      </c>
      <c r="K179" s="673">
        <f>D179+J179</f>
        <v>0</v>
      </c>
      <c r="L179" s="890"/>
      <c r="M179" s="891"/>
      <c r="N179" s="169">
        <f>D179</f>
        <v>0</v>
      </c>
    </row>
    <row r="180" spans="1:14">
      <c r="A180" s="156"/>
      <c r="B180" s="115">
        <f>Sponsor!B184</f>
        <v>20</v>
      </c>
      <c r="C180" s="677" t="str">
        <f>IF(Sponsor!C184="","",Sponsor!C184)</f>
        <v/>
      </c>
      <c r="D180" s="638">
        <f>Sponsor!I184</f>
        <v>0</v>
      </c>
      <c r="E180" s="678">
        <f>UMYr1!E180 + UMYr2!E180 + UMYr3!E180 + UMYr4!E180 + UMYr5!E180</f>
        <v>0</v>
      </c>
      <c r="F180" s="638">
        <f>UMYr1!F180 + UMYr2!F180 + UMYr3!F180 + UMYr4!F180 + UMYr5!F180</f>
        <v>0</v>
      </c>
      <c r="G180" s="638">
        <f>UMYr1!G180 + UMYr2!G180 + UMYr3!G180 + UMYr4!G180 + UMYr5!G180</f>
        <v>0</v>
      </c>
      <c r="H180" s="638">
        <f>UMYr1!H180 + UMYr2!H180 + UMYr3!H180 + UMYr4!H180 + UMYr5!H180</f>
        <v>0</v>
      </c>
      <c r="I180" s="638">
        <f>UMYr1!I180 + UMYr2!I180 + UMYr3!I180 + UMYr4!I180 + UMYr5!I180</f>
        <v>0</v>
      </c>
      <c r="J180" s="638">
        <f>UMYr1!J180 + UMYr2!J180 + UMYr3!J180 + UMYr4!J180 + UMYr5!J180</f>
        <v>0</v>
      </c>
      <c r="K180" s="638">
        <f>Sponsor!P184+J180</f>
        <v>0</v>
      </c>
      <c r="L180" s="638">
        <f>UMYr1!L180 +UMYr2!L180 + UMYr3!L180 + UMYr4!L180 + UMYr5!L180</f>
        <v>0</v>
      </c>
      <c r="M180" s="638">
        <f>UMYr1!M180 +UMYr2!M180 + UMYr3!M180 + UMYr4!M180 + UMYr5!M180</f>
        <v>0</v>
      </c>
      <c r="N180" s="167">
        <f>D180+J180+L180+M180</f>
        <v>0</v>
      </c>
    </row>
    <row r="181" spans="1:14">
      <c r="A181" s="156">
        <f>Sponsor!A185</f>
        <v>60250</v>
      </c>
      <c r="B181" s="116"/>
      <c r="C181" s="102" t="str">
        <f>Sponsor!C185</f>
        <v>Less than $25K</v>
      </c>
      <c r="D181" s="126">
        <f>Sponsor!I185</f>
        <v>0</v>
      </c>
      <c r="E181" s="892" t="s">
        <v>679</v>
      </c>
      <c r="F181" s="920"/>
      <c r="G181" s="920"/>
      <c r="H181" s="920"/>
      <c r="I181" s="921"/>
      <c r="J181" s="673">
        <f>UMYr1!J181 + UMYr2!J181 + UMYr3!J181 + UMYr4!J181 + UMYr5!J181</f>
        <v>0</v>
      </c>
      <c r="K181" s="673">
        <f>D181+J181</f>
        <v>0</v>
      </c>
      <c r="L181" s="888" t="s">
        <v>679</v>
      </c>
      <c r="M181" s="889"/>
      <c r="N181" s="168">
        <f>D181</f>
        <v>0</v>
      </c>
    </row>
    <row r="182" spans="1:14" ht="13.5" thickBot="1">
      <c r="A182" s="156">
        <f>Sponsor!A186</f>
        <v>60270</v>
      </c>
      <c r="B182" s="116"/>
      <c r="C182" s="102" t="str">
        <f>Sponsor!C186</f>
        <v>Greater than $25K</v>
      </c>
      <c r="D182" s="127">
        <f>Sponsor!I186</f>
        <v>0</v>
      </c>
      <c r="E182" s="963"/>
      <c r="F182" s="964"/>
      <c r="G182" s="964"/>
      <c r="H182" s="964"/>
      <c r="I182" s="965"/>
      <c r="J182" s="171">
        <f>UMYr1!J182 + UMYr2!J182 + UMYr3!J182 + UMYr4!J182 + UMYr5!J182</f>
        <v>0</v>
      </c>
      <c r="K182" s="171">
        <f>D182+J182</f>
        <v>0</v>
      </c>
      <c r="L182" s="951"/>
      <c r="M182" s="952"/>
      <c r="N182" s="169">
        <f>D182</f>
        <v>0</v>
      </c>
    </row>
    <row r="183" spans="1:14" ht="13.5" thickBot="1">
      <c r="A183" s="327"/>
      <c r="B183" s="919" t="s">
        <v>602</v>
      </c>
      <c r="C183" s="1055"/>
      <c r="D183" s="308">
        <f>Sponsor!I187</f>
        <v>0</v>
      </c>
      <c r="E183" s="341">
        <f>UMYr1!E183 + UMYr2!E183 + UMYr3!E183 + UMYr4!E183 + UMYr5!E183</f>
        <v>0</v>
      </c>
      <c r="F183" s="309">
        <f>UMYr1!F183 + UMYr2!F183 + UMYr3!F183 + UMYr4!F183 + UMYr5!F183</f>
        <v>0</v>
      </c>
      <c r="G183" s="309">
        <f>UMYr1!G183 + UMYr2!G183 + UMYr3!G183 + UMYr4!G183 + UMYr5!G183</f>
        <v>0</v>
      </c>
      <c r="H183" s="309">
        <f>UMYr1!H183 + UMYr2!H183 + UMYr3!H183 + UMYr4!H183 + UMYr5!H183</f>
        <v>0</v>
      </c>
      <c r="I183" s="309">
        <f>UMYr1!I183 + UMYr2!I183 + UMYr3!I183 + UMYr4!I183 + UMYr5!I183</f>
        <v>0</v>
      </c>
      <c r="J183" s="309">
        <f>UMYr1!J183 + UMYr2!J183 + UMYr3!J183 + UMYr4!J183 + UMYr5!J183</f>
        <v>0</v>
      </c>
      <c r="K183" s="341">
        <f>Sponsor!P187+J183</f>
        <v>0</v>
      </c>
      <c r="L183" s="309">
        <f>L123+L126+L129+L132+L135+L138+L141+L144+L147+L150</f>
        <v>0</v>
      </c>
      <c r="M183" s="309">
        <f>M123+M126+M129+M132+M135+M138+M141+M144+M147+M150</f>
        <v>0</v>
      </c>
      <c r="N183" s="170">
        <f>D183+J183+L183+M183</f>
        <v>0</v>
      </c>
    </row>
    <row r="224" spans="3:14">
      <c r="C224" s="256"/>
      <c r="D224" s="256"/>
      <c r="E224" s="256"/>
      <c r="F224" s="256"/>
      <c r="G224" s="256"/>
      <c r="H224" s="256"/>
      <c r="I224" s="256"/>
      <c r="J224" s="256"/>
      <c r="K224" s="256"/>
      <c r="L224" s="256"/>
      <c r="M224" s="256"/>
      <c r="N224" s="256"/>
    </row>
    <row r="227" spans="2:2">
      <c r="B227" s="209"/>
    </row>
  </sheetData>
  <sheetProtection algorithmName="SHA-512" hashValue="QgYS4O0Ycp0mDGb8ijSEE5j5vB4plx/NsJKPNNjsr7cs/ohB4XwyuLr/ER8sAjlKJiYSj380+cBJKrYdqIyPXw==" saltValue="5lG2ywztQBbBV6z2Xu+0rw==" spinCount="100000" sheet="1" objects="1" scenarios="1"/>
  <mergeCells count="102">
    <mergeCell ref="B183:C183"/>
    <mergeCell ref="B110:N110"/>
    <mergeCell ref="B120:C120"/>
    <mergeCell ref="B102:C102"/>
    <mergeCell ref="B109:C109"/>
    <mergeCell ref="E136:I137"/>
    <mergeCell ref="E139:I140"/>
    <mergeCell ref="E148:I149"/>
    <mergeCell ref="E163:I164"/>
    <mergeCell ref="E127:I128"/>
    <mergeCell ref="E130:I131"/>
    <mergeCell ref="E133:I134"/>
    <mergeCell ref="E145:I146"/>
    <mergeCell ref="E142:I143"/>
    <mergeCell ref="E124:I125"/>
    <mergeCell ref="E178:I179"/>
    <mergeCell ref="L124:M125"/>
    <mergeCell ref="L136:M137"/>
    <mergeCell ref="L154:M155"/>
    <mergeCell ref="L157:M158"/>
    <mergeCell ref="L178:M179"/>
    <mergeCell ref="L166:M167"/>
    <mergeCell ref="L169:M170"/>
    <mergeCell ref="L175:M176"/>
    <mergeCell ref="B68:C68"/>
    <mergeCell ref="B60:C60"/>
    <mergeCell ref="B26:C26"/>
    <mergeCell ref="B23:C23"/>
    <mergeCell ref="D1:N1"/>
    <mergeCell ref="L54:M54"/>
    <mergeCell ref="D2:G2"/>
    <mergeCell ref="D4:E4"/>
    <mergeCell ref="F4:G4"/>
    <mergeCell ref="H2:J2"/>
    <mergeCell ref="H3:J3"/>
    <mergeCell ref="H4:J4"/>
    <mergeCell ref="K2:L2"/>
    <mergeCell ref="K3:L3"/>
    <mergeCell ref="K4:L4"/>
    <mergeCell ref="L5:M5"/>
    <mergeCell ref="D54:D59"/>
    <mergeCell ref="F55:J59"/>
    <mergeCell ref="D3:G3"/>
    <mergeCell ref="N5:N6"/>
    <mergeCell ref="B30:C30"/>
    <mergeCell ref="B42:C42"/>
    <mergeCell ref="B31:C31"/>
    <mergeCell ref="B67:C67"/>
    <mergeCell ref="A1:C1"/>
    <mergeCell ref="B12:C12"/>
    <mergeCell ref="D5:D6"/>
    <mergeCell ref="E5:J5"/>
    <mergeCell ref="B13:C13"/>
    <mergeCell ref="B66:C66"/>
    <mergeCell ref="B64:N64"/>
    <mergeCell ref="B52:C52"/>
    <mergeCell ref="B53:C53"/>
    <mergeCell ref="L55:M59"/>
    <mergeCell ref="B63:C63"/>
    <mergeCell ref="B36:C36"/>
    <mergeCell ref="B62:C62"/>
    <mergeCell ref="A5:A6"/>
    <mergeCell ref="C5:C6"/>
    <mergeCell ref="B5:B6"/>
    <mergeCell ref="K5:K6"/>
    <mergeCell ref="A2:B2"/>
    <mergeCell ref="A3:B3"/>
    <mergeCell ref="A4:B4"/>
    <mergeCell ref="E181:I182"/>
    <mergeCell ref="E151:I152"/>
    <mergeCell ref="E154:I155"/>
    <mergeCell ref="E157:I158"/>
    <mergeCell ref="E160:I161"/>
    <mergeCell ref="E166:I167"/>
    <mergeCell ref="L172:M173"/>
    <mergeCell ref="E169:I170"/>
    <mergeCell ref="E172:I173"/>
    <mergeCell ref="E175:I176"/>
    <mergeCell ref="L181:M182"/>
    <mergeCell ref="L160:M161"/>
    <mergeCell ref="L163:M164"/>
    <mergeCell ref="B69:C69"/>
    <mergeCell ref="B74:C74"/>
    <mergeCell ref="B73:C73"/>
    <mergeCell ref="B84:C84"/>
    <mergeCell ref="L127:M128"/>
    <mergeCell ref="L130:M131"/>
    <mergeCell ref="L133:M134"/>
    <mergeCell ref="L139:M140"/>
    <mergeCell ref="L151:M152"/>
    <mergeCell ref="L148:M149"/>
    <mergeCell ref="L78:M84"/>
    <mergeCell ref="B75:C75"/>
    <mergeCell ref="B77:C77"/>
    <mergeCell ref="B78:C78"/>
    <mergeCell ref="B79:C79"/>
    <mergeCell ref="E79:I84"/>
    <mergeCell ref="B80:C80"/>
    <mergeCell ref="B81:C81"/>
    <mergeCell ref="L142:M143"/>
    <mergeCell ref="L145:M146"/>
    <mergeCell ref="B83:C83"/>
  </mergeCells>
  <phoneticPr fontId="0" type="noConversion"/>
  <printOptions horizontalCentered="1" verticalCentered="1"/>
  <pageMargins left="0.5" right="0.5" top="0.5" bottom="0.5" header="0" footer="0"/>
  <pageSetup scale="65" fitToHeight="0" orientation="portrait" blackAndWhite="1" horizontalDpi="300" verticalDpi="300" r:id="rId1"/>
  <headerFooter alignWithMargins="0"/>
  <ignoredErrors>
    <ignoredError sqref="K126:K159 K162:K180 N138:N180 N126:N1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4"/>
  <sheetViews>
    <sheetView showGridLines="0" workbookViewId="0">
      <selection sqref="A1:C1"/>
    </sheetView>
  </sheetViews>
  <sheetFormatPr defaultColWidth="9.140625" defaultRowHeight="12.75"/>
  <cols>
    <col min="1" max="1" width="8.85546875" style="162" customWidth="1"/>
    <col min="2" max="2" width="36.42578125" style="88" customWidth="1"/>
    <col min="3" max="3" width="15.28515625" style="444" customWidth="1"/>
    <col min="4" max="4" width="9.140625" style="88" hidden="1" customWidth="1"/>
    <col min="5" max="5" width="0.7109375" style="88" customWidth="1"/>
    <col min="6" max="16384" width="9.140625" style="88"/>
  </cols>
  <sheetData>
    <row r="1" spans="1:5" ht="21.75" customHeight="1">
      <c r="A1" s="719" t="s">
        <v>50</v>
      </c>
      <c r="B1" s="719"/>
      <c r="C1" s="720"/>
    </row>
    <row r="2" spans="1:5" ht="15" customHeight="1">
      <c r="A2" s="640" t="s">
        <v>51</v>
      </c>
      <c r="B2" s="641" t="s">
        <v>52</v>
      </c>
      <c r="C2" s="642" t="s">
        <v>53</v>
      </c>
    </row>
    <row r="3" spans="1:5">
      <c r="A3" s="643">
        <v>50000</v>
      </c>
      <c r="B3" s="644" t="s">
        <v>54</v>
      </c>
      <c r="C3" s="645" t="s">
        <v>55</v>
      </c>
    </row>
    <row r="4" spans="1:5">
      <c r="A4" s="646">
        <v>50001</v>
      </c>
      <c r="B4" s="647" t="s">
        <v>56</v>
      </c>
      <c r="C4" s="648" t="s">
        <v>57</v>
      </c>
    </row>
    <row r="5" spans="1:5">
      <c r="A5" s="646">
        <v>50002</v>
      </c>
      <c r="B5" s="647" t="s">
        <v>58</v>
      </c>
      <c r="C5" s="648" t="s">
        <v>55</v>
      </c>
    </row>
    <row r="6" spans="1:5">
      <c r="A6" s="646">
        <v>50003</v>
      </c>
      <c r="B6" s="647" t="s">
        <v>59</v>
      </c>
      <c r="C6" s="648" t="s">
        <v>57</v>
      </c>
    </row>
    <row r="7" spans="1:5">
      <c r="A7" s="646">
        <v>50004</v>
      </c>
      <c r="B7" s="647" t="s">
        <v>60</v>
      </c>
      <c r="C7" s="648" t="s">
        <v>57</v>
      </c>
    </row>
    <row r="8" spans="1:5">
      <c r="A8" s="646">
        <v>50005</v>
      </c>
      <c r="B8" s="647" t="s">
        <v>61</v>
      </c>
      <c r="C8" s="648" t="s">
        <v>57</v>
      </c>
    </row>
    <row r="9" spans="1:5">
      <c r="A9" s="646">
        <v>50006</v>
      </c>
      <c r="B9" s="647" t="s">
        <v>62</v>
      </c>
      <c r="C9" s="648" t="s">
        <v>55</v>
      </c>
    </row>
    <row r="10" spans="1:5">
      <c r="A10" s="646">
        <v>50007</v>
      </c>
      <c r="B10" s="647" t="s">
        <v>63</v>
      </c>
      <c r="C10" s="648" t="s">
        <v>55</v>
      </c>
    </row>
    <row r="11" spans="1:5" s="559" customFormat="1">
      <c r="A11" s="646">
        <v>50008</v>
      </c>
      <c r="B11" s="647" t="s">
        <v>64</v>
      </c>
      <c r="C11" s="648" t="s">
        <v>55</v>
      </c>
    </row>
    <row r="12" spans="1:5">
      <c r="A12" s="646">
        <v>50009</v>
      </c>
      <c r="B12" s="647" t="s">
        <v>65</v>
      </c>
      <c r="C12" s="648" t="s">
        <v>57</v>
      </c>
    </row>
    <row r="13" spans="1:5">
      <c r="A13" s="643" t="str">
        <f>"50010"</f>
        <v>50010</v>
      </c>
      <c r="B13" s="644" t="s">
        <v>66</v>
      </c>
      <c r="C13" s="645" t="s">
        <v>57</v>
      </c>
      <c r="D13" s="88" t="s">
        <v>67</v>
      </c>
    </row>
    <row r="14" spans="1:5">
      <c r="A14" s="646">
        <v>50011</v>
      </c>
      <c r="B14" s="647" t="s">
        <v>68</v>
      </c>
      <c r="C14" s="648" t="s">
        <v>57</v>
      </c>
      <c r="D14" s="88" t="s">
        <v>55</v>
      </c>
      <c r="E14" s="88">
        <v>54.7</v>
      </c>
    </row>
    <row r="15" spans="1:5">
      <c r="A15" s="646">
        <v>50012</v>
      </c>
      <c r="B15" s="647" t="s">
        <v>69</v>
      </c>
      <c r="C15" s="648" t="s">
        <v>57</v>
      </c>
      <c r="D15" s="88" t="s">
        <v>70</v>
      </c>
      <c r="E15" s="88">
        <v>8</v>
      </c>
    </row>
    <row r="16" spans="1:5">
      <c r="A16" s="646">
        <v>50013</v>
      </c>
      <c r="B16" s="647" t="s">
        <v>71</v>
      </c>
      <c r="C16" s="648" t="s">
        <v>57</v>
      </c>
    </row>
    <row r="17" spans="1:3">
      <c r="A17" s="646">
        <v>50014</v>
      </c>
      <c r="B17" s="647" t="s">
        <v>72</v>
      </c>
      <c r="C17" s="648" t="s">
        <v>57</v>
      </c>
    </row>
    <row r="18" spans="1:3">
      <c r="A18" s="646">
        <v>50015</v>
      </c>
      <c r="B18" s="647" t="s">
        <v>73</v>
      </c>
      <c r="C18" s="648" t="s">
        <v>57</v>
      </c>
    </row>
    <row r="19" spans="1:3">
      <c r="A19" s="646">
        <v>50016</v>
      </c>
      <c r="B19" s="647" t="s">
        <v>74</v>
      </c>
      <c r="C19" s="648" t="s">
        <v>57</v>
      </c>
    </row>
    <row r="20" spans="1:3">
      <c r="A20" s="646">
        <v>50017</v>
      </c>
      <c r="B20" s="647" t="s">
        <v>75</v>
      </c>
      <c r="C20" s="648" t="s">
        <v>57</v>
      </c>
    </row>
    <row r="21" spans="1:3">
      <c r="A21" s="646">
        <v>50018</v>
      </c>
      <c r="B21" s="647" t="s">
        <v>76</v>
      </c>
      <c r="C21" s="648" t="s">
        <v>57</v>
      </c>
    </row>
    <row r="22" spans="1:3">
      <c r="A22" s="646">
        <v>50019</v>
      </c>
      <c r="B22" s="647" t="s">
        <v>77</v>
      </c>
      <c r="C22" s="648" t="s">
        <v>57</v>
      </c>
    </row>
    <row r="23" spans="1:3">
      <c r="A23" s="646" t="s">
        <v>78</v>
      </c>
      <c r="B23" s="647" t="s">
        <v>79</v>
      </c>
      <c r="C23" s="648" t="s">
        <v>55</v>
      </c>
    </row>
    <row r="24" spans="1:3">
      <c r="A24" s="643" t="str">
        <f>"50100"</f>
        <v>50100</v>
      </c>
      <c r="B24" s="644" t="s">
        <v>80</v>
      </c>
      <c r="C24" s="645" t="s">
        <v>55</v>
      </c>
    </row>
    <row r="25" spans="1:3">
      <c r="A25" s="646">
        <v>50101</v>
      </c>
      <c r="B25" s="647" t="s">
        <v>81</v>
      </c>
      <c r="C25" s="648" t="s">
        <v>55</v>
      </c>
    </row>
    <row r="26" spans="1:3">
      <c r="A26" s="643" t="str">
        <f>"50200"</f>
        <v>50200</v>
      </c>
      <c r="B26" s="644" t="s">
        <v>82</v>
      </c>
      <c r="C26" s="645" t="s">
        <v>55</v>
      </c>
    </row>
    <row r="27" spans="1:3">
      <c r="A27" s="643" t="str">
        <f>"50300"</f>
        <v>50300</v>
      </c>
      <c r="B27" s="644" t="s">
        <v>83</v>
      </c>
      <c r="C27" s="645" t="s">
        <v>55</v>
      </c>
    </row>
    <row r="28" spans="1:3">
      <c r="A28" s="643" t="str">
        <f>"50400"</f>
        <v>50400</v>
      </c>
      <c r="B28" s="644" t="s">
        <v>84</v>
      </c>
      <c r="C28" s="645" t="s">
        <v>57</v>
      </c>
    </row>
    <row r="29" spans="1:3">
      <c r="A29" s="646">
        <v>50401</v>
      </c>
      <c r="B29" s="647" t="s">
        <v>85</v>
      </c>
      <c r="C29" s="648" t="s">
        <v>57</v>
      </c>
    </row>
    <row r="30" spans="1:3">
      <c r="A30" s="646">
        <v>50402</v>
      </c>
      <c r="B30" s="647" t="s">
        <v>86</v>
      </c>
      <c r="C30" s="648" t="s">
        <v>57</v>
      </c>
    </row>
    <row r="31" spans="1:3">
      <c r="A31" s="646">
        <v>50403</v>
      </c>
      <c r="B31" s="647" t="s">
        <v>87</v>
      </c>
      <c r="C31" s="648" t="s">
        <v>57</v>
      </c>
    </row>
    <row r="32" spans="1:3">
      <c r="A32" s="646">
        <v>50404</v>
      </c>
      <c r="B32" s="647" t="s">
        <v>88</v>
      </c>
      <c r="C32" s="648" t="s">
        <v>57</v>
      </c>
    </row>
    <row r="33" spans="1:3">
      <c r="A33" s="643">
        <v>51000</v>
      </c>
      <c r="B33" s="644" t="s">
        <v>89</v>
      </c>
      <c r="C33" s="645" t="s">
        <v>55</v>
      </c>
    </row>
    <row r="34" spans="1:3">
      <c r="A34" s="646">
        <v>51001</v>
      </c>
      <c r="B34" s="647" t="s">
        <v>90</v>
      </c>
      <c r="C34" s="648" t="s">
        <v>57</v>
      </c>
    </row>
    <row r="35" spans="1:3">
      <c r="A35" s="646">
        <v>51002</v>
      </c>
      <c r="B35" s="647" t="s">
        <v>91</v>
      </c>
      <c r="C35" s="648" t="s">
        <v>55</v>
      </c>
    </row>
    <row r="36" spans="1:3">
      <c r="A36" s="646">
        <v>51003</v>
      </c>
      <c r="B36" s="647" t="s">
        <v>92</v>
      </c>
      <c r="C36" s="648" t="s">
        <v>57</v>
      </c>
    </row>
    <row r="37" spans="1:3">
      <c r="A37" s="646">
        <v>51004</v>
      </c>
      <c r="B37" s="647" t="s">
        <v>93</v>
      </c>
      <c r="C37" s="648" t="s">
        <v>57</v>
      </c>
    </row>
    <row r="38" spans="1:3">
      <c r="A38" s="646">
        <v>51005</v>
      </c>
      <c r="B38" s="647" t="s">
        <v>94</v>
      </c>
      <c r="C38" s="648" t="s">
        <v>57</v>
      </c>
    </row>
    <row r="39" spans="1:3">
      <c r="A39" s="646">
        <v>51007</v>
      </c>
      <c r="B39" s="647" t="s">
        <v>95</v>
      </c>
      <c r="C39" s="648" t="s">
        <v>55</v>
      </c>
    </row>
    <row r="40" spans="1:3">
      <c r="A40" s="646">
        <v>51008</v>
      </c>
      <c r="B40" s="647" t="s">
        <v>96</v>
      </c>
      <c r="C40" s="648" t="s">
        <v>55</v>
      </c>
    </row>
    <row r="41" spans="1:3">
      <c r="A41" s="646">
        <v>51009</v>
      </c>
      <c r="B41" s="647" t="s">
        <v>97</v>
      </c>
      <c r="C41" s="648" t="s">
        <v>57</v>
      </c>
    </row>
    <row r="42" spans="1:3">
      <c r="A42" s="646">
        <v>51011</v>
      </c>
      <c r="B42" s="647" t="s">
        <v>98</v>
      </c>
      <c r="C42" s="648" t="s">
        <v>57</v>
      </c>
    </row>
    <row r="43" spans="1:3">
      <c r="A43" s="646" t="str">
        <f>"51012"</f>
        <v>51012</v>
      </c>
      <c r="B43" s="647" t="str">
        <f>"Non-Fac Temporary"</f>
        <v>Non-Fac Temporary</v>
      </c>
      <c r="C43" s="648" t="s">
        <v>57</v>
      </c>
    </row>
    <row r="44" spans="1:3">
      <c r="A44" s="646" t="s">
        <v>99</v>
      </c>
      <c r="B44" s="647" t="s">
        <v>100</v>
      </c>
      <c r="C44" s="648" t="s">
        <v>55</v>
      </c>
    </row>
    <row r="45" spans="1:3">
      <c r="A45" s="643" t="str">
        <f>"51100"</f>
        <v>51100</v>
      </c>
      <c r="B45" s="644" t="s">
        <v>101</v>
      </c>
      <c r="C45" s="645" t="s">
        <v>55</v>
      </c>
    </row>
    <row r="46" spans="1:3">
      <c r="A46" s="646">
        <v>51101</v>
      </c>
      <c r="B46" s="647" t="s">
        <v>102</v>
      </c>
      <c r="C46" s="648" t="s">
        <v>57</v>
      </c>
    </row>
    <row r="47" spans="1:3">
      <c r="A47" s="643" t="s">
        <v>103</v>
      </c>
      <c r="B47" s="644" t="s">
        <v>104</v>
      </c>
      <c r="C47" s="645" t="s">
        <v>55</v>
      </c>
    </row>
    <row r="48" spans="1:3">
      <c r="A48" s="646">
        <v>51201</v>
      </c>
      <c r="B48" s="647" t="s">
        <v>105</v>
      </c>
      <c r="C48" s="648" t="s">
        <v>55</v>
      </c>
    </row>
    <row r="49" spans="1:3">
      <c r="A49" s="646">
        <v>51202</v>
      </c>
      <c r="B49" s="647" t="s">
        <v>106</v>
      </c>
      <c r="C49" s="648" t="s">
        <v>55</v>
      </c>
    </row>
    <row r="50" spans="1:3">
      <c r="A50" s="643">
        <v>52000</v>
      </c>
      <c r="B50" s="644" t="s">
        <v>107</v>
      </c>
      <c r="C50" s="645" t="s">
        <v>55</v>
      </c>
    </row>
    <row r="51" spans="1:3">
      <c r="A51" s="646">
        <v>52001</v>
      </c>
      <c r="B51" s="647" t="s">
        <v>108</v>
      </c>
      <c r="C51" s="648" t="s">
        <v>57</v>
      </c>
    </row>
    <row r="52" spans="1:3">
      <c r="A52" s="646" t="s">
        <v>109</v>
      </c>
      <c r="B52" s="647" t="s">
        <v>110</v>
      </c>
      <c r="C52" s="648" t="s">
        <v>57</v>
      </c>
    </row>
    <row r="53" spans="1:3">
      <c r="A53" s="646" t="s">
        <v>111</v>
      </c>
      <c r="B53" s="647" t="s">
        <v>112</v>
      </c>
      <c r="C53" s="648" t="s">
        <v>57</v>
      </c>
    </row>
    <row r="54" spans="1:3">
      <c r="A54" s="646">
        <v>52009</v>
      </c>
      <c r="B54" s="647" t="s">
        <v>113</v>
      </c>
      <c r="C54" s="648" t="s">
        <v>57</v>
      </c>
    </row>
    <row r="55" spans="1:3">
      <c r="A55" s="646">
        <v>52011</v>
      </c>
      <c r="B55" s="647" t="s">
        <v>114</v>
      </c>
      <c r="C55" s="648" t="s">
        <v>57</v>
      </c>
    </row>
    <row r="56" spans="1:3">
      <c r="A56" s="643" t="s">
        <v>115</v>
      </c>
      <c r="B56" s="644" t="s">
        <v>116</v>
      </c>
      <c r="C56" s="645" t="s">
        <v>57</v>
      </c>
    </row>
    <row r="57" spans="1:3">
      <c r="A57" s="646" t="s">
        <v>117</v>
      </c>
      <c r="B57" s="647" t="s">
        <v>118</v>
      </c>
      <c r="C57" s="648" t="s">
        <v>55</v>
      </c>
    </row>
    <row r="58" spans="1:3">
      <c r="A58" s="646">
        <v>52100</v>
      </c>
      <c r="B58" s="647" t="s">
        <v>119</v>
      </c>
      <c r="C58" s="648" t="s">
        <v>55</v>
      </c>
    </row>
    <row r="59" spans="1:3">
      <c r="A59" s="643" t="str">
        <f>"52200"</f>
        <v>52200</v>
      </c>
      <c r="B59" s="644" t="s">
        <v>120</v>
      </c>
      <c r="C59" s="645" t="s">
        <v>55</v>
      </c>
    </row>
    <row r="60" spans="1:3">
      <c r="A60" s="646">
        <v>52300</v>
      </c>
      <c r="B60" s="647" t="s">
        <v>121</v>
      </c>
      <c r="C60" s="648" t="s">
        <v>55</v>
      </c>
    </row>
    <row r="61" spans="1:3">
      <c r="A61" s="646">
        <v>52400</v>
      </c>
      <c r="B61" s="647" t="s">
        <v>122</v>
      </c>
      <c r="C61" s="648" t="s">
        <v>55</v>
      </c>
    </row>
    <row r="62" spans="1:3">
      <c r="A62" s="646">
        <v>52500</v>
      </c>
      <c r="B62" s="647" t="s">
        <v>123</v>
      </c>
      <c r="C62" s="648" t="s">
        <v>55</v>
      </c>
    </row>
    <row r="63" spans="1:3">
      <c r="A63" s="716" t="s">
        <v>124</v>
      </c>
      <c r="B63" s="717"/>
      <c r="C63" s="718"/>
    </row>
    <row r="64" spans="1:3">
      <c r="A64" s="643" t="str">
        <f>"53300"</f>
        <v>53300</v>
      </c>
      <c r="B64" s="644" t="str">
        <f>"Student Other"</f>
        <v>Student Other</v>
      </c>
      <c r="C64" s="645" t="s">
        <v>125</v>
      </c>
    </row>
    <row r="65" spans="1:3">
      <c r="A65" s="646">
        <v>53301</v>
      </c>
      <c r="B65" s="647" t="s">
        <v>126</v>
      </c>
      <c r="C65" s="648" t="s">
        <v>125</v>
      </c>
    </row>
    <row r="66" spans="1:3">
      <c r="A66" s="646">
        <v>53302</v>
      </c>
      <c r="B66" s="647" t="s">
        <v>127</v>
      </c>
      <c r="C66" s="648" t="s">
        <v>125</v>
      </c>
    </row>
    <row r="67" spans="1:3">
      <c r="A67" s="646">
        <v>53303</v>
      </c>
      <c r="B67" s="647" t="s">
        <v>128</v>
      </c>
      <c r="C67" s="648" t="s">
        <v>125</v>
      </c>
    </row>
    <row r="68" spans="1:3">
      <c r="A68" s="646" t="str">
        <f>"53304"</f>
        <v>53304</v>
      </c>
      <c r="B68" s="647" t="str">
        <f>"Student Univ Work Study"</f>
        <v>Student Univ Work Study</v>
      </c>
      <c r="C68" s="648" t="s">
        <v>125</v>
      </c>
    </row>
    <row r="69" spans="1:3">
      <c r="A69" s="646" t="s">
        <v>129</v>
      </c>
      <c r="B69" s="647" t="s">
        <v>130</v>
      </c>
      <c r="C69" s="648" t="s">
        <v>125</v>
      </c>
    </row>
    <row r="70" spans="1:3">
      <c r="A70" s="646" t="s">
        <v>131</v>
      </c>
      <c r="B70" s="647" t="s">
        <v>132</v>
      </c>
      <c r="C70" s="648" t="s">
        <v>125</v>
      </c>
    </row>
    <row r="71" spans="1:3">
      <c r="A71" s="646" t="s">
        <v>133</v>
      </c>
      <c r="B71" s="647" t="s">
        <v>134</v>
      </c>
      <c r="C71" s="648" t="s">
        <v>125</v>
      </c>
    </row>
    <row r="72" spans="1:3">
      <c r="A72" s="646" t="s">
        <v>135</v>
      </c>
      <c r="B72" s="647" t="s">
        <v>136</v>
      </c>
      <c r="C72" s="648" t="s">
        <v>125</v>
      </c>
    </row>
    <row r="73" spans="1:3">
      <c r="A73" s="646" t="s">
        <v>137</v>
      </c>
      <c r="B73" s="647" t="s">
        <v>138</v>
      </c>
      <c r="C73" s="648" t="s">
        <v>125</v>
      </c>
    </row>
    <row r="74" spans="1:3">
      <c r="A74" s="646" t="str">
        <f>"53600"</f>
        <v>53600</v>
      </c>
      <c r="B74" s="647" t="str">
        <f>"Student Graduate"</f>
        <v>Student Graduate</v>
      </c>
      <c r="C74" s="648" t="s">
        <v>125</v>
      </c>
    </row>
    <row r="75" spans="1:3">
      <c r="A75" s="646" t="str">
        <f>"53601"</f>
        <v>53601</v>
      </c>
      <c r="B75" s="647" t="str">
        <f>"Student Graduate Research"</f>
        <v>Student Graduate Research</v>
      </c>
      <c r="C75" s="648" t="s">
        <v>125</v>
      </c>
    </row>
    <row r="76" spans="1:3">
      <c r="A76" s="646" t="str">
        <f>"53602"</f>
        <v>53602</v>
      </c>
      <c r="B76" s="647" t="str">
        <f>"Student Graduate Teaching"</f>
        <v>Student Graduate Teaching</v>
      </c>
      <c r="C76" s="648" t="s">
        <v>125</v>
      </c>
    </row>
    <row r="77" spans="1:3">
      <c r="A77" s="646" t="s">
        <v>139</v>
      </c>
      <c r="B77" s="647" t="s">
        <v>140</v>
      </c>
      <c r="C77" s="648" t="s">
        <v>125</v>
      </c>
    </row>
    <row r="78" spans="1:3">
      <c r="A78" s="646" t="s">
        <v>141</v>
      </c>
      <c r="B78" s="647" t="s">
        <v>142</v>
      </c>
      <c r="C78" s="648" t="s">
        <v>125</v>
      </c>
    </row>
    <row r="79" spans="1:3">
      <c r="A79" s="646" t="s">
        <v>143</v>
      </c>
      <c r="B79" s="647" t="s">
        <v>144</v>
      </c>
      <c r="C79" s="648" t="s">
        <v>125</v>
      </c>
    </row>
    <row r="80" spans="1:3">
      <c r="A80" s="646" t="s">
        <v>145</v>
      </c>
      <c r="B80" s="647" t="s">
        <v>146</v>
      </c>
      <c r="C80" s="648" t="s">
        <v>125</v>
      </c>
    </row>
    <row r="81" spans="1:3">
      <c r="A81" s="643" t="str">
        <f>"54100"</f>
        <v>54100</v>
      </c>
      <c r="B81" s="644" t="str">
        <f>"Health Insurance"</f>
        <v>Health Insurance</v>
      </c>
      <c r="C81" s="645" t="s">
        <v>125</v>
      </c>
    </row>
    <row r="82" spans="1:3">
      <c r="A82" s="643" t="str">
        <f>"54113"</f>
        <v>54113</v>
      </c>
      <c r="B82" s="644" t="str">
        <f>"Student Health"</f>
        <v>Student Health</v>
      </c>
      <c r="C82" s="645" t="s">
        <v>125</v>
      </c>
    </row>
    <row r="83" spans="1:3">
      <c r="A83" s="643">
        <v>54800</v>
      </c>
      <c r="B83" s="644" t="s">
        <v>147</v>
      </c>
      <c r="C83" s="645" t="s">
        <v>125</v>
      </c>
    </row>
    <row r="84" spans="1:3">
      <c r="A84" s="643" t="s">
        <v>148</v>
      </c>
      <c r="B84" s="644" t="s">
        <v>149</v>
      </c>
      <c r="C84" s="645" t="s">
        <v>125</v>
      </c>
    </row>
    <row r="85" spans="1:3">
      <c r="A85" s="643" t="str">
        <f>"55100"</f>
        <v>55100</v>
      </c>
      <c r="B85" s="644" t="str">
        <f>"Scholarships"</f>
        <v>Scholarships</v>
      </c>
      <c r="C85" s="645" t="s">
        <v>125</v>
      </c>
    </row>
    <row r="86" spans="1:3">
      <c r="A86" s="646" t="s">
        <v>150</v>
      </c>
      <c r="B86" s="647" t="s">
        <v>151</v>
      </c>
      <c r="C86" s="648" t="s">
        <v>125</v>
      </c>
    </row>
    <row r="87" spans="1:3">
      <c r="A87" s="646" t="s">
        <v>152</v>
      </c>
      <c r="B87" s="647" t="s">
        <v>153</v>
      </c>
      <c r="C87" s="648" t="s">
        <v>125</v>
      </c>
    </row>
    <row r="88" spans="1:3">
      <c r="A88" s="646" t="s">
        <v>154</v>
      </c>
      <c r="B88" s="647" t="s">
        <v>155</v>
      </c>
      <c r="C88" s="648" t="s">
        <v>125</v>
      </c>
    </row>
    <row r="89" spans="1:3">
      <c r="A89" s="646" t="s">
        <v>156</v>
      </c>
      <c r="B89" s="647" t="s">
        <v>157</v>
      </c>
      <c r="C89" s="648" t="s">
        <v>125</v>
      </c>
    </row>
    <row r="90" spans="1:3">
      <c r="A90" s="646" t="s">
        <v>158</v>
      </c>
      <c r="B90" s="647" t="s">
        <v>159</v>
      </c>
      <c r="C90" s="648" t="s">
        <v>125</v>
      </c>
    </row>
    <row r="91" spans="1:3">
      <c r="A91" s="643" t="str">
        <f>"55200"</f>
        <v>55200</v>
      </c>
      <c r="B91" s="644" t="str">
        <f>"Fellowships"</f>
        <v>Fellowships</v>
      </c>
      <c r="C91" s="645" t="s">
        <v>125</v>
      </c>
    </row>
    <row r="92" spans="1:3">
      <c r="A92" s="643" t="str">
        <f>"55300"</f>
        <v>55300</v>
      </c>
      <c r="B92" s="644" t="str">
        <f>"Graduate Assistant Tuition"</f>
        <v>Graduate Assistant Tuition</v>
      </c>
      <c r="C92" s="645" t="s">
        <v>125</v>
      </c>
    </row>
    <row r="93" spans="1:3">
      <c r="A93" s="713" t="s">
        <v>160</v>
      </c>
      <c r="B93" s="714"/>
      <c r="C93" s="715"/>
    </row>
    <row r="94" spans="1:3">
      <c r="A94" s="646">
        <v>60000</v>
      </c>
      <c r="B94" s="647" t="s">
        <v>161</v>
      </c>
      <c r="C94" s="649"/>
    </row>
    <row r="95" spans="1:3">
      <c r="A95" s="646" t="s">
        <v>162</v>
      </c>
      <c r="B95" s="647" t="s">
        <v>163</v>
      </c>
      <c r="C95" s="649"/>
    </row>
    <row r="96" spans="1:3">
      <c r="A96" s="643" t="str">
        <f>"60002"</f>
        <v>60002</v>
      </c>
      <c r="B96" s="644" t="str">
        <f>"Consulting Services Fees"</f>
        <v>Consulting Services Fees</v>
      </c>
      <c r="C96" s="649"/>
    </row>
    <row r="97" spans="1:3">
      <c r="A97" s="646" t="s">
        <v>164</v>
      </c>
      <c r="B97" s="647" t="s">
        <v>165</v>
      </c>
      <c r="C97" s="649"/>
    </row>
    <row r="98" spans="1:3">
      <c r="A98" s="646" t="s">
        <v>166</v>
      </c>
      <c r="B98" s="647" t="s">
        <v>167</v>
      </c>
      <c r="C98" s="649"/>
    </row>
    <row r="99" spans="1:3">
      <c r="A99" s="646" t="str">
        <f>"60005"</f>
        <v>60005</v>
      </c>
      <c r="B99" s="647" t="str">
        <f>"Non-Employee Other Expenses"</f>
        <v>Non-Employee Other Expenses</v>
      </c>
      <c r="C99" s="649"/>
    </row>
    <row r="100" spans="1:3">
      <c r="A100" s="646" t="str">
        <f>"60006"</f>
        <v>60006</v>
      </c>
      <c r="B100" s="647" t="str">
        <f>"Non-Employee Travel"</f>
        <v>Non-Employee Travel</v>
      </c>
      <c r="C100" s="649"/>
    </row>
    <row r="101" spans="1:3">
      <c r="A101" s="646" t="str">
        <f>"60007"</f>
        <v>60007</v>
      </c>
      <c r="B101" s="647" t="str">
        <f>"Temp Employee Svcs (Non-Univ)"</f>
        <v>Temp Employee Svcs (Non-Univ)</v>
      </c>
      <c r="C101" s="649"/>
    </row>
    <row r="102" spans="1:3">
      <c r="A102" s="646" t="s">
        <v>168</v>
      </c>
      <c r="B102" s="647" t="s">
        <v>169</v>
      </c>
      <c r="C102" s="649"/>
    </row>
    <row r="103" spans="1:3">
      <c r="A103" s="646" t="s">
        <v>170</v>
      </c>
      <c r="B103" s="647" t="s">
        <v>171</v>
      </c>
      <c r="C103" s="649"/>
    </row>
    <row r="104" spans="1:3">
      <c r="A104" s="646" t="s">
        <v>172</v>
      </c>
      <c r="B104" s="647" t="s">
        <v>173</v>
      </c>
      <c r="C104" s="649"/>
    </row>
    <row r="105" spans="1:3">
      <c r="A105" s="643" t="str">
        <f>"60100"</f>
        <v>60100</v>
      </c>
      <c r="B105" s="644" t="str">
        <f>"Professional Services"</f>
        <v>Professional Services</v>
      </c>
      <c r="C105" s="649"/>
    </row>
    <row r="106" spans="1:3">
      <c r="A106" s="646" t="s">
        <v>174</v>
      </c>
      <c r="B106" s="647" t="s">
        <v>175</v>
      </c>
      <c r="C106" s="649"/>
    </row>
    <row r="107" spans="1:3">
      <c r="A107" s="646" t="s">
        <v>176</v>
      </c>
      <c r="B107" s="647" t="s">
        <v>177</v>
      </c>
      <c r="C107" s="649"/>
    </row>
    <row r="108" spans="1:3">
      <c r="A108" s="646" t="s">
        <v>178</v>
      </c>
      <c r="B108" s="647" t="s">
        <v>179</v>
      </c>
      <c r="C108" s="649"/>
    </row>
    <row r="109" spans="1:3">
      <c r="A109" s="646" t="s">
        <v>180</v>
      </c>
      <c r="B109" s="647" t="s">
        <v>181</v>
      </c>
      <c r="C109" s="649"/>
    </row>
    <row r="110" spans="1:3">
      <c r="A110" s="646" t="s">
        <v>182</v>
      </c>
      <c r="B110" s="647" t="s">
        <v>183</v>
      </c>
      <c r="C110" s="649"/>
    </row>
    <row r="111" spans="1:3">
      <c r="A111" s="646" t="s">
        <v>184</v>
      </c>
      <c r="B111" s="647" t="s">
        <v>185</v>
      </c>
      <c r="C111" s="649"/>
    </row>
    <row r="112" spans="1:3">
      <c r="A112" s="646" t="s">
        <v>186</v>
      </c>
      <c r="B112" s="647" t="s">
        <v>187</v>
      </c>
      <c r="C112" s="649"/>
    </row>
    <row r="113" spans="1:3">
      <c r="A113" s="646" t="s">
        <v>188</v>
      </c>
      <c r="B113" s="647" t="s">
        <v>189</v>
      </c>
      <c r="C113" s="649"/>
    </row>
    <row r="114" spans="1:3">
      <c r="A114" s="646" t="s">
        <v>190</v>
      </c>
      <c r="B114" s="647" t="s">
        <v>191</v>
      </c>
      <c r="C114" s="649"/>
    </row>
    <row r="115" spans="1:3">
      <c r="A115" s="646" t="s">
        <v>192</v>
      </c>
      <c r="B115" s="647" t="s">
        <v>193</v>
      </c>
      <c r="C115" s="649"/>
    </row>
    <row r="116" spans="1:3">
      <c r="A116" s="646" t="s">
        <v>194</v>
      </c>
      <c r="B116" s="647" t="s">
        <v>195</v>
      </c>
      <c r="C116" s="649"/>
    </row>
    <row r="117" spans="1:3">
      <c r="A117" s="646" t="s">
        <v>196</v>
      </c>
      <c r="B117" s="647" t="s">
        <v>197</v>
      </c>
      <c r="C117" s="649"/>
    </row>
    <row r="118" spans="1:3">
      <c r="A118" s="646" t="s">
        <v>198</v>
      </c>
      <c r="B118" s="647" t="s">
        <v>199</v>
      </c>
      <c r="C118" s="649"/>
    </row>
    <row r="119" spans="1:3">
      <c r="A119" s="646" t="s">
        <v>200</v>
      </c>
      <c r="B119" s="647" t="s">
        <v>201</v>
      </c>
      <c r="C119" s="649"/>
    </row>
    <row r="120" spans="1:3">
      <c r="A120" s="646">
        <v>60117</v>
      </c>
      <c r="B120" s="647" t="s">
        <v>202</v>
      </c>
      <c r="C120" s="649"/>
    </row>
    <row r="121" spans="1:3">
      <c r="A121" s="646" t="s">
        <v>203</v>
      </c>
      <c r="B121" s="647" t="s">
        <v>204</v>
      </c>
      <c r="C121" s="649"/>
    </row>
    <row r="122" spans="1:3">
      <c r="A122" s="646" t="s">
        <v>205</v>
      </c>
      <c r="B122" s="647" t="s">
        <v>206</v>
      </c>
      <c r="C122" s="649"/>
    </row>
    <row r="123" spans="1:3">
      <c r="A123" s="646" t="s">
        <v>207</v>
      </c>
      <c r="B123" s="647" t="s">
        <v>208</v>
      </c>
      <c r="C123" s="649"/>
    </row>
    <row r="124" spans="1:3">
      <c r="A124" s="646" t="s">
        <v>209</v>
      </c>
      <c r="B124" s="647" t="s">
        <v>210</v>
      </c>
      <c r="C124" s="649"/>
    </row>
    <row r="125" spans="1:3">
      <c r="A125" s="646" t="s">
        <v>211</v>
      </c>
      <c r="B125" s="647" t="s">
        <v>212</v>
      </c>
      <c r="C125" s="649"/>
    </row>
    <row r="126" spans="1:3">
      <c r="A126" s="646" t="s">
        <v>213</v>
      </c>
      <c r="B126" s="647" t="s">
        <v>214</v>
      </c>
      <c r="C126" s="649"/>
    </row>
    <row r="127" spans="1:3">
      <c r="A127" s="646" t="s">
        <v>215</v>
      </c>
      <c r="B127" s="647" t="s">
        <v>216</v>
      </c>
      <c r="C127" s="649"/>
    </row>
    <row r="128" spans="1:3">
      <c r="A128" s="646" t="s">
        <v>217</v>
      </c>
      <c r="B128" s="647" t="s">
        <v>218</v>
      </c>
      <c r="C128" s="649"/>
    </row>
    <row r="129" spans="1:3">
      <c r="A129" s="643" t="str">
        <f>"60200"</f>
        <v>60200</v>
      </c>
      <c r="B129" s="644" t="str">
        <f>"Participant Costs"</f>
        <v>Participant Costs</v>
      </c>
      <c r="C129" s="649"/>
    </row>
    <row r="130" spans="1:3">
      <c r="A130" s="650">
        <v>60201</v>
      </c>
      <c r="B130" s="651" t="s">
        <v>219</v>
      </c>
      <c r="C130" s="649"/>
    </row>
    <row r="131" spans="1:3">
      <c r="A131" s="650">
        <v>60202</v>
      </c>
      <c r="B131" s="651" t="s">
        <v>220</v>
      </c>
      <c r="C131" s="649"/>
    </row>
    <row r="132" spans="1:3">
      <c r="A132" s="650">
        <v>60203</v>
      </c>
      <c r="B132" s="651" t="s">
        <v>221</v>
      </c>
      <c r="C132" s="649"/>
    </row>
    <row r="133" spans="1:3">
      <c r="A133" s="650">
        <v>60204</v>
      </c>
      <c r="B133" s="651" t="s">
        <v>222</v>
      </c>
      <c r="C133" s="649"/>
    </row>
    <row r="134" spans="1:3">
      <c r="A134" s="650">
        <v>60205</v>
      </c>
      <c r="B134" s="651" t="s">
        <v>223</v>
      </c>
      <c r="C134" s="649"/>
    </row>
    <row r="135" spans="1:3">
      <c r="A135" s="643" t="str">
        <f>"60206"</f>
        <v>60206</v>
      </c>
      <c r="B135" s="644" t="str">
        <f>"ParticipantCosts - Stipends"</f>
        <v>ParticipantCosts - Stipends</v>
      </c>
      <c r="C135" s="649"/>
    </row>
    <row r="136" spans="1:3">
      <c r="A136" s="643" t="str">
        <f>"60207"</f>
        <v>60207</v>
      </c>
      <c r="B136" s="644" t="str">
        <f>"Participant Costs - Tuition"</f>
        <v>Participant Costs - Tuition</v>
      </c>
      <c r="C136" s="649"/>
    </row>
    <row r="137" spans="1:3">
      <c r="A137" s="643" t="str">
        <f>"60250"</f>
        <v>60250</v>
      </c>
      <c r="B137" s="644" t="str">
        <f>"Sub-Con &lt;= $25000"</f>
        <v>Sub-Con &lt;= $25000</v>
      </c>
      <c r="C137" s="649"/>
    </row>
    <row r="138" spans="1:3">
      <c r="A138" s="643" t="str">
        <f>"60251"</f>
        <v>60251</v>
      </c>
      <c r="B138" s="644" t="str">
        <f>"Sub-Con &lt;= $25K #1"</f>
        <v>Sub-Con &lt;= $25K #1</v>
      </c>
      <c r="C138" s="649"/>
    </row>
    <row r="139" spans="1:3">
      <c r="A139" s="643" t="str">
        <f>"60252"</f>
        <v>60252</v>
      </c>
      <c r="B139" s="644" t="str">
        <f>"Sub-Con &lt;= $25K #2"</f>
        <v>Sub-Con &lt;= $25K #2</v>
      </c>
      <c r="C139" s="649"/>
    </row>
    <row r="140" spans="1:3">
      <c r="A140" s="643" t="str">
        <f>"60270"</f>
        <v>60270</v>
      </c>
      <c r="B140" s="644" t="str">
        <f>"Sub-Con &gt; $25000"</f>
        <v>Sub-Con &gt; $25000</v>
      </c>
      <c r="C140" s="649"/>
    </row>
    <row r="141" spans="1:3">
      <c r="A141" s="643" t="str">
        <f>"60271"</f>
        <v>60271</v>
      </c>
      <c r="B141" s="644" t="str">
        <f>"Sub-Con &gt; $25K #1"</f>
        <v>Sub-Con &gt; $25K #1</v>
      </c>
      <c r="C141" s="649"/>
    </row>
    <row r="142" spans="1:3">
      <c r="A142" s="643" t="str">
        <f>"60272"</f>
        <v>60272</v>
      </c>
      <c r="B142" s="644" t="str">
        <f>"Sub-Con &gt; $25K #2"</f>
        <v>Sub-Con &gt; $25K #2</v>
      </c>
      <c r="C142" s="649"/>
    </row>
    <row r="143" spans="1:3">
      <c r="A143" s="646" t="s">
        <v>224</v>
      </c>
      <c r="B143" s="647" t="s">
        <v>225</v>
      </c>
      <c r="C143" s="649"/>
    </row>
    <row r="144" spans="1:3">
      <c r="A144" s="646" t="s">
        <v>226</v>
      </c>
      <c r="B144" s="647" t="s">
        <v>227</v>
      </c>
      <c r="C144" s="649"/>
    </row>
    <row r="145" spans="1:3">
      <c r="A145" s="646" t="s">
        <v>228</v>
      </c>
      <c r="B145" s="647" t="s">
        <v>229</v>
      </c>
      <c r="C145" s="649"/>
    </row>
    <row r="146" spans="1:3">
      <c r="A146" s="646" t="s">
        <v>230</v>
      </c>
      <c r="B146" s="647" t="s">
        <v>231</v>
      </c>
      <c r="C146" s="649"/>
    </row>
    <row r="147" spans="1:3">
      <c r="A147" s="643" t="s">
        <v>232</v>
      </c>
      <c r="B147" s="644" t="s">
        <v>233</v>
      </c>
      <c r="C147" s="649"/>
    </row>
    <row r="148" spans="1:3">
      <c r="A148" s="646" t="s">
        <v>234</v>
      </c>
      <c r="B148" s="647" t="s">
        <v>235</v>
      </c>
      <c r="C148" s="649"/>
    </row>
    <row r="149" spans="1:3">
      <c r="A149" s="646" t="s">
        <v>236</v>
      </c>
      <c r="B149" s="647" t="s">
        <v>237</v>
      </c>
      <c r="C149" s="649"/>
    </row>
    <row r="150" spans="1:3">
      <c r="A150" s="646" t="s">
        <v>238</v>
      </c>
      <c r="B150" s="647" t="s">
        <v>239</v>
      </c>
      <c r="C150" s="649"/>
    </row>
    <row r="151" spans="1:3">
      <c r="A151" s="646" t="s">
        <v>240</v>
      </c>
      <c r="B151" s="647" t="s">
        <v>241</v>
      </c>
      <c r="C151" s="649"/>
    </row>
    <row r="152" spans="1:3">
      <c r="A152" s="646" t="s">
        <v>242</v>
      </c>
      <c r="B152" s="647" t="s">
        <v>243</v>
      </c>
      <c r="C152" s="649"/>
    </row>
    <row r="153" spans="1:3">
      <c r="A153" s="646" t="s">
        <v>244</v>
      </c>
      <c r="B153" s="647" t="s">
        <v>245</v>
      </c>
      <c r="C153" s="649"/>
    </row>
    <row r="154" spans="1:3">
      <c r="A154" s="646" t="s">
        <v>246</v>
      </c>
      <c r="B154" s="647" t="s">
        <v>247</v>
      </c>
      <c r="C154" s="649"/>
    </row>
    <row r="155" spans="1:3">
      <c r="A155" s="646" t="s">
        <v>248</v>
      </c>
      <c r="B155" s="647" t="s">
        <v>249</v>
      </c>
      <c r="C155" s="649"/>
    </row>
    <row r="156" spans="1:3">
      <c r="A156" s="646" t="s">
        <v>250</v>
      </c>
      <c r="B156" s="647" t="s">
        <v>251</v>
      </c>
      <c r="C156" s="649"/>
    </row>
    <row r="157" spans="1:3">
      <c r="A157" s="646" t="s">
        <v>252</v>
      </c>
      <c r="B157" s="647" t="s">
        <v>253</v>
      </c>
      <c r="C157" s="649"/>
    </row>
    <row r="158" spans="1:3">
      <c r="A158" s="646" t="s">
        <v>254</v>
      </c>
      <c r="B158" s="647" t="s">
        <v>255</v>
      </c>
      <c r="C158" s="649"/>
    </row>
    <row r="159" spans="1:3">
      <c r="A159" s="643" t="s">
        <v>256</v>
      </c>
      <c r="B159" s="644" t="s">
        <v>257</v>
      </c>
      <c r="C159" s="649"/>
    </row>
    <row r="160" spans="1:3">
      <c r="A160" s="646" t="s">
        <v>258</v>
      </c>
      <c r="B160" s="647" t="s">
        <v>259</v>
      </c>
      <c r="C160" s="649"/>
    </row>
    <row r="161" spans="1:3">
      <c r="A161" s="646" t="s">
        <v>260</v>
      </c>
      <c r="B161" s="647" t="s">
        <v>261</v>
      </c>
      <c r="C161" s="649"/>
    </row>
    <row r="162" spans="1:3">
      <c r="A162" s="646" t="s">
        <v>262</v>
      </c>
      <c r="B162" s="647" t="s">
        <v>263</v>
      </c>
      <c r="C162" s="649"/>
    </row>
    <row r="163" spans="1:3">
      <c r="A163" s="646" t="s">
        <v>264</v>
      </c>
      <c r="B163" s="647" t="s">
        <v>265</v>
      </c>
      <c r="C163" s="649"/>
    </row>
    <row r="164" spans="1:3">
      <c r="A164" s="646" t="s">
        <v>266</v>
      </c>
      <c r="B164" s="647" t="s">
        <v>267</v>
      </c>
      <c r="C164" s="649"/>
    </row>
    <row r="165" spans="1:3">
      <c r="A165" s="646" t="s">
        <v>268</v>
      </c>
      <c r="B165" s="647" t="s">
        <v>269</v>
      </c>
      <c r="C165" s="649"/>
    </row>
    <row r="166" spans="1:3">
      <c r="A166" s="646" t="s">
        <v>270</v>
      </c>
      <c r="B166" s="647" t="s">
        <v>271</v>
      </c>
      <c r="C166" s="649"/>
    </row>
    <row r="167" spans="1:3">
      <c r="A167" s="643" t="s">
        <v>272</v>
      </c>
      <c r="B167" s="644" t="s">
        <v>273</v>
      </c>
      <c r="C167" s="649"/>
    </row>
    <row r="168" spans="1:3">
      <c r="A168" s="646" t="s">
        <v>274</v>
      </c>
      <c r="B168" s="647" t="s">
        <v>275</v>
      </c>
      <c r="C168" s="649"/>
    </row>
    <row r="169" spans="1:3">
      <c r="A169" s="646" t="s">
        <v>276</v>
      </c>
      <c r="B169" s="647" t="s">
        <v>277</v>
      </c>
      <c r="C169" s="649"/>
    </row>
    <row r="170" spans="1:3">
      <c r="A170" s="646" t="s">
        <v>278</v>
      </c>
      <c r="B170" s="647" t="s">
        <v>279</v>
      </c>
      <c r="C170" s="649"/>
    </row>
    <row r="171" spans="1:3">
      <c r="A171" s="646" t="s">
        <v>280</v>
      </c>
      <c r="B171" s="647" t="s">
        <v>281</v>
      </c>
      <c r="C171" s="649"/>
    </row>
    <row r="172" spans="1:3">
      <c r="A172" s="646" t="s">
        <v>282</v>
      </c>
      <c r="B172" s="647" t="s">
        <v>283</v>
      </c>
      <c r="C172" s="649"/>
    </row>
    <row r="173" spans="1:3">
      <c r="A173" s="646" t="s">
        <v>284</v>
      </c>
      <c r="B173" s="647" t="s">
        <v>285</v>
      </c>
      <c r="C173" s="649"/>
    </row>
    <row r="174" spans="1:3">
      <c r="A174" s="646" t="s">
        <v>286</v>
      </c>
      <c r="B174" s="647" t="s">
        <v>287</v>
      </c>
      <c r="C174" s="649"/>
    </row>
    <row r="175" spans="1:3">
      <c r="A175" s="646" t="s">
        <v>288</v>
      </c>
      <c r="B175" s="647" t="s">
        <v>289</v>
      </c>
      <c r="C175" s="649"/>
    </row>
    <row r="176" spans="1:3">
      <c r="A176" s="646" t="s">
        <v>290</v>
      </c>
      <c r="B176" s="647" t="s">
        <v>291</v>
      </c>
      <c r="C176" s="649"/>
    </row>
    <row r="177" spans="1:3">
      <c r="A177" s="646" t="s">
        <v>292</v>
      </c>
      <c r="B177" s="647" t="s">
        <v>293</v>
      </c>
      <c r="C177" s="649"/>
    </row>
    <row r="178" spans="1:3">
      <c r="A178" s="646" t="s">
        <v>294</v>
      </c>
      <c r="B178" s="647" t="s">
        <v>295</v>
      </c>
      <c r="C178" s="649"/>
    </row>
    <row r="179" spans="1:3">
      <c r="A179" s="646" t="s">
        <v>296</v>
      </c>
      <c r="B179" s="647" t="s">
        <v>297</v>
      </c>
      <c r="C179" s="649"/>
    </row>
    <row r="180" spans="1:3">
      <c r="A180" s="646" t="s">
        <v>298</v>
      </c>
      <c r="B180" s="647" t="s">
        <v>299</v>
      </c>
      <c r="C180" s="649"/>
    </row>
    <row r="181" spans="1:3">
      <c r="A181" s="646" t="s">
        <v>300</v>
      </c>
      <c r="B181" s="647" t="s">
        <v>301</v>
      </c>
      <c r="C181" s="649"/>
    </row>
    <row r="182" spans="1:3">
      <c r="A182" s="646" t="s">
        <v>302</v>
      </c>
      <c r="B182" s="647" t="s">
        <v>303</v>
      </c>
      <c r="C182" s="649"/>
    </row>
    <row r="183" spans="1:3">
      <c r="A183" s="646" t="s">
        <v>304</v>
      </c>
      <c r="B183" s="647" t="s">
        <v>305</v>
      </c>
      <c r="C183" s="649"/>
    </row>
    <row r="184" spans="1:3">
      <c r="A184" s="646" t="str">
        <f>"60600"</f>
        <v>60600</v>
      </c>
      <c r="B184" s="647" t="str">
        <f>"Printing &amp; Copying Svcs"</f>
        <v>Printing &amp; Copying Svcs</v>
      </c>
      <c r="C184" s="649"/>
    </row>
    <row r="185" spans="1:3">
      <c r="A185" s="646" t="s">
        <v>306</v>
      </c>
      <c r="B185" s="647" t="s">
        <v>307</v>
      </c>
      <c r="C185" s="649"/>
    </row>
    <row r="186" spans="1:3">
      <c r="A186" s="646" t="s">
        <v>308</v>
      </c>
      <c r="B186" s="647" t="s">
        <v>309</v>
      </c>
      <c r="C186" s="649"/>
    </row>
    <row r="187" spans="1:3">
      <c r="A187" s="643" t="str">
        <f>"60603"</f>
        <v>60603</v>
      </c>
      <c r="B187" s="644" t="str">
        <f>"Copying"</f>
        <v>Copying</v>
      </c>
      <c r="C187" s="649"/>
    </row>
    <row r="188" spans="1:3">
      <c r="A188" s="643" t="str">
        <f>"60604"</f>
        <v>60604</v>
      </c>
      <c r="B188" s="644" t="str">
        <f>"Printing"</f>
        <v>Printing</v>
      </c>
      <c r="C188" s="649"/>
    </row>
    <row r="189" spans="1:3">
      <c r="A189" s="646" t="s">
        <v>310</v>
      </c>
      <c r="B189" s="647" t="s">
        <v>311</v>
      </c>
      <c r="C189" s="649"/>
    </row>
    <row r="190" spans="1:3">
      <c r="A190" s="650">
        <v>60700</v>
      </c>
      <c r="B190" s="644" t="s">
        <v>312</v>
      </c>
      <c r="C190" s="649"/>
    </row>
    <row r="191" spans="1:3">
      <c r="A191" s="652" t="s">
        <v>313</v>
      </c>
      <c r="B191" s="647" t="s">
        <v>314</v>
      </c>
      <c r="C191" s="649"/>
    </row>
    <row r="192" spans="1:3">
      <c r="A192" s="646" t="s">
        <v>315</v>
      </c>
      <c r="B192" s="647" t="s">
        <v>316</v>
      </c>
      <c r="C192" s="649"/>
    </row>
    <row r="193" spans="1:3">
      <c r="A193" s="646" t="s">
        <v>317</v>
      </c>
      <c r="B193" s="647" t="s">
        <v>318</v>
      </c>
      <c r="C193" s="649"/>
    </row>
    <row r="194" spans="1:3">
      <c r="A194" s="646" t="s">
        <v>319</v>
      </c>
      <c r="B194" s="647" t="s">
        <v>320</v>
      </c>
      <c r="C194" s="649"/>
    </row>
    <row r="195" spans="1:3">
      <c r="A195" s="646" t="s">
        <v>321</v>
      </c>
      <c r="B195" s="647" t="s">
        <v>322</v>
      </c>
      <c r="C195" s="649"/>
    </row>
    <row r="196" spans="1:3">
      <c r="A196" s="646" t="s">
        <v>323</v>
      </c>
      <c r="B196" s="647" t="s">
        <v>324</v>
      </c>
      <c r="C196" s="649"/>
    </row>
    <row r="197" spans="1:3">
      <c r="A197" s="646" t="s">
        <v>325</v>
      </c>
      <c r="B197" s="647" t="s">
        <v>326</v>
      </c>
      <c r="C197" s="649"/>
    </row>
    <row r="198" spans="1:3">
      <c r="A198" s="646" t="s">
        <v>327</v>
      </c>
      <c r="B198" s="647" t="s">
        <v>328</v>
      </c>
      <c r="C198" s="649"/>
    </row>
    <row r="199" spans="1:3">
      <c r="A199" s="646" t="s">
        <v>329</v>
      </c>
      <c r="B199" s="647" t="s">
        <v>330</v>
      </c>
      <c r="C199" s="649"/>
    </row>
    <row r="200" spans="1:3">
      <c r="A200" s="646" t="s">
        <v>331</v>
      </c>
      <c r="B200" s="647" t="s">
        <v>332</v>
      </c>
      <c r="C200" s="649"/>
    </row>
    <row r="201" spans="1:3">
      <c r="A201" s="646" t="s">
        <v>333</v>
      </c>
      <c r="B201" s="647" t="s">
        <v>334</v>
      </c>
      <c r="C201" s="649"/>
    </row>
    <row r="202" spans="1:3">
      <c r="A202" s="646" t="s">
        <v>335</v>
      </c>
      <c r="B202" s="647" t="s">
        <v>336</v>
      </c>
      <c r="C202" s="649"/>
    </row>
    <row r="203" spans="1:3">
      <c r="A203" s="646" t="s">
        <v>337</v>
      </c>
      <c r="B203" s="647" t="s">
        <v>338</v>
      </c>
      <c r="C203" s="649"/>
    </row>
    <row r="204" spans="1:3">
      <c r="A204" s="643" t="str">
        <f>"60800"</f>
        <v>60800</v>
      </c>
      <c r="B204" s="644" t="str">
        <f>"Rentals &amp; Leases"</f>
        <v>Rentals &amp; Leases</v>
      </c>
      <c r="C204" s="649"/>
    </row>
    <row r="205" spans="1:3">
      <c r="A205" s="643" t="str">
        <f>"60801"</f>
        <v>60801</v>
      </c>
      <c r="B205" s="644" t="str">
        <f>"Building/Facilities Rental"</f>
        <v>Building/Facilities Rental</v>
      </c>
      <c r="C205" s="649"/>
    </row>
    <row r="206" spans="1:3">
      <c r="A206" s="643" t="str">
        <f>"60802"</f>
        <v>60802</v>
      </c>
      <c r="B206" s="644" t="str">
        <f>"Equipment &amp; Machine Rental"</f>
        <v>Equipment &amp; Machine Rental</v>
      </c>
      <c r="C206" s="649"/>
    </row>
    <row r="207" spans="1:3">
      <c r="A207" s="643" t="str">
        <f>"60803"</f>
        <v>60803</v>
      </c>
      <c r="B207" s="644" t="str">
        <f>"Vehicles Rental"</f>
        <v>Vehicles Rental</v>
      </c>
      <c r="C207" s="649"/>
    </row>
    <row r="208" spans="1:3">
      <c r="A208" s="643" t="str">
        <f>"60804"</f>
        <v>60804</v>
      </c>
      <c r="B208" s="644" t="str">
        <f>"Boat Rental"</f>
        <v>Boat Rental</v>
      </c>
      <c r="C208" s="649"/>
    </row>
    <row r="209" spans="1:3">
      <c r="A209" s="643" t="str">
        <f>"60805"</f>
        <v>60805</v>
      </c>
      <c r="B209" s="644" t="str">
        <f>"Equipment Leasing"</f>
        <v>Equipment Leasing</v>
      </c>
      <c r="C209" s="649"/>
    </row>
    <row r="210" spans="1:3">
      <c r="A210" s="643" t="str">
        <f>"60900"</f>
        <v>60900</v>
      </c>
      <c r="B210" s="644" t="str">
        <f>"Publications"</f>
        <v>Publications</v>
      </c>
      <c r="C210" s="649"/>
    </row>
    <row r="211" spans="1:3">
      <c r="A211" s="646" t="s">
        <v>339</v>
      </c>
      <c r="B211" s="647" t="s">
        <v>340</v>
      </c>
      <c r="C211" s="649"/>
    </row>
    <row r="212" spans="1:3">
      <c r="A212" s="646" t="s">
        <v>341</v>
      </c>
      <c r="B212" s="647" t="s">
        <v>342</v>
      </c>
      <c r="C212" s="649"/>
    </row>
    <row r="213" spans="1:3">
      <c r="A213" s="646" t="s">
        <v>343</v>
      </c>
      <c r="B213" s="647" t="s">
        <v>344</v>
      </c>
      <c r="C213" s="649"/>
    </row>
    <row r="214" spans="1:3">
      <c r="A214" s="646" t="str">
        <f>"60904"</f>
        <v>60904</v>
      </c>
      <c r="B214" s="647" t="str">
        <f>"Subscriptions"</f>
        <v>Subscriptions</v>
      </c>
      <c r="C214" s="649"/>
    </row>
    <row r="215" spans="1:3">
      <c r="A215" s="643" t="str">
        <f>"61000"</f>
        <v>61000</v>
      </c>
      <c r="B215" s="644" t="str">
        <f>"Supplies and Materials"</f>
        <v>Supplies and Materials</v>
      </c>
      <c r="C215" s="649"/>
    </row>
    <row r="216" spans="1:3">
      <c r="A216" s="646" t="s">
        <v>345</v>
      </c>
      <c r="B216" s="647" t="s">
        <v>346</v>
      </c>
      <c r="C216" s="649"/>
    </row>
    <row r="217" spans="1:3">
      <c r="A217" s="646" t="s">
        <v>347</v>
      </c>
      <c r="B217" s="647" t="s">
        <v>348</v>
      </c>
      <c r="C217" s="649"/>
    </row>
    <row r="218" spans="1:3">
      <c r="A218" s="646" t="s">
        <v>349</v>
      </c>
      <c r="B218" s="647" t="s">
        <v>350</v>
      </c>
      <c r="C218" s="649"/>
    </row>
    <row r="219" spans="1:3">
      <c r="A219" s="646" t="s">
        <v>351</v>
      </c>
      <c r="B219" s="647" t="s">
        <v>352</v>
      </c>
      <c r="C219" s="649"/>
    </row>
    <row r="220" spans="1:3">
      <c r="A220" s="646" t="s">
        <v>353</v>
      </c>
      <c r="B220" s="647" t="s">
        <v>354</v>
      </c>
      <c r="C220" s="649"/>
    </row>
    <row r="221" spans="1:3">
      <c r="A221" s="646" t="s">
        <v>355</v>
      </c>
      <c r="B221" s="647" t="s">
        <v>356</v>
      </c>
      <c r="C221" s="649"/>
    </row>
    <row r="222" spans="1:3">
      <c r="A222" s="646" t="s">
        <v>357</v>
      </c>
      <c r="B222" s="647" t="s">
        <v>358</v>
      </c>
      <c r="C222" s="649"/>
    </row>
    <row r="223" spans="1:3">
      <c r="A223" s="646" t="s">
        <v>359</v>
      </c>
      <c r="B223" s="647" t="s">
        <v>360</v>
      </c>
      <c r="C223" s="649"/>
    </row>
    <row r="224" spans="1:3">
      <c r="A224" s="646" t="s">
        <v>361</v>
      </c>
      <c r="B224" s="647" t="s">
        <v>362</v>
      </c>
      <c r="C224" s="649"/>
    </row>
    <row r="225" spans="1:3">
      <c r="A225" s="646" t="s">
        <v>363</v>
      </c>
      <c r="B225" s="647" t="s">
        <v>364</v>
      </c>
      <c r="C225" s="649"/>
    </row>
    <row r="226" spans="1:3">
      <c r="A226" s="646" t="s">
        <v>365</v>
      </c>
      <c r="B226" s="647" t="s">
        <v>366</v>
      </c>
      <c r="C226" s="649"/>
    </row>
    <row r="227" spans="1:3">
      <c r="A227" s="646" t="s">
        <v>367</v>
      </c>
      <c r="B227" s="647" t="s">
        <v>368</v>
      </c>
      <c r="C227" s="649"/>
    </row>
    <row r="228" spans="1:3">
      <c r="A228" s="646" t="s">
        <v>369</v>
      </c>
      <c r="B228" s="647" t="s">
        <v>370</v>
      </c>
      <c r="C228" s="649"/>
    </row>
    <row r="229" spans="1:3">
      <c r="A229" s="646" t="s">
        <v>371</v>
      </c>
      <c r="B229" s="647" t="s">
        <v>372</v>
      </c>
      <c r="C229" s="649"/>
    </row>
    <row r="230" spans="1:3">
      <c r="A230" s="646" t="s">
        <v>373</v>
      </c>
      <c r="B230" s="647" t="s">
        <v>374</v>
      </c>
      <c r="C230" s="649"/>
    </row>
    <row r="231" spans="1:3">
      <c r="A231" s="646" t="s">
        <v>375</v>
      </c>
      <c r="B231" s="647" t="s">
        <v>376</v>
      </c>
      <c r="C231" s="649"/>
    </row>
    <row r="232" spans="1:3">
      <c r="A232" s="646" t="s">
        <v>377</v>
      </c>
      <c r="B232" s="647" t="s">
        <v>378</v>
      </c>
      <c r="C232" s="649"/>
    </row>
    <row r="233" spans="1:3">
      <c r="A233" s="646" t="s">
        <v>379</v>
      </c>
      <c r="B233" s="647" t="s">
        <v>380</v>
      </c>
      <c r="C233" s="649"/>
    </row>
    <row r="234" spans="1:3">
      <c r="A234" s="646" t="s">
        <v>381</v>
      </c>
      <c r="B234" s="647" t="s">
        <v>382</v>
      </c>
      <c r="C234" s="649"/>
    </row>
    <row r="235" spans="1:3">
      <c r="A235" s="646" t="s">
        <v>383</v>
      </c>
      <c r="B235" s="647" t="s">
        <v>384</v>
      </c>
      <c r="C235" s="649"/>
    </row>
    <row r="236" spans="1:3">
      <c r="A236" s="646" t="s">
        <v>385</v>
      </c>
      <c r="B236" s="647" t="s">
        <v>386</v>
      </c>
      <c r="C236" s="649"/>
    </row>
    <row r="237" spans="1:3">
      <c r="A237" s="646" t="s">
        <v>387</v>
      </c>
      <c r="B237" s="647" t="s">
        <v>388</v>
      </c>
      <c r="C237" s="649"/>
    </row>
    <row r="238" spans="1:3">
      <c r="A238" s="646" t="s">
        <v>389</v>
      </c>
      <c r="B238" s="647" t="s">
        <v>390</v>
      </c>
      <c r="C238" s="649"/>
    </row>
    <row r="239" spans="1:3">
      <c r="A239" s="646" t="s">
        <v>391</v>
      </c>
      <c r="B239" s="647" t="s">
        <v>392</v>
      </c>
      <c r="C239" s="649"/>
    </row>
    <row r="240" spans="1:3">
      <c r="A240" s="646" t="s">
        <v>393</v>
      </c>
      <c r="B240" s="647" t="s">
        <v>394</v>
      </c>
      <c r="C240" s="649"/>
    </row>
    <row r="241" spans="1:3">
      <c r="A241" s="643" t="str">
        <f>"61400"</f>
        <v>61400</v>
      </c>
      <c r="B241" s="644" t="str">
        <f>"In-State Travel"</f>
        <v>In-State Travel</v>
      </c>
      <c r="C241" s="649"/>
    </row>
    <row r="242" spans="1:3">
      <c r="A242" s="647" t="s">
        <v>395</v>
      </c>
      <c r="B242" s="647" t="s">
        <v>396</v>
      </c>
      <c r="C242" s="649"/>
    </row>
    <row r="243" spans="1:3">
      <c r="A243" s="647" t="s">
        <v>397</v>
      </c>
      <c r="B243" s="647" t="s">
        <v>398</v>
      </c>
      <c r="C243" s="649"/>
    </row>
    <row r="244" spans="1:3">
      <c r="A244" s="647" t="s">
        <v>399</v>
      </c>
      <c r="B244" s="647" t="s">
        <v>400</v>
      </c>
      <c r="C244" s="649"/>
    </row>
    <row r="245" spans="1:3">
      <c r="A245" s="647" t="s">
        <v>401</v>
      </c>
      <c r="B245" s="647" t="s">
        <v>402</v>
      </c>
      <c r="C245" s="649"/>
    </row>
    <row r="246" spans="1:3">
      <c r="A246" s="647" t="s">
        <v>403</v>
      </c>
      <c r="B246" s="647" t="s">
        <v>404</v>
      </c>
      <c r="C246" s="649"/>
    </row>
    <row r="247" spans="1:3">
      <c r="A247" s="647" t="s">
        <v>405</v>
      </c>
      <c r="B247" s="647" t="s">
        <v>406</v>
      </c>
      <c r="C247" s="649"/>
    </row>
    <row r="248" spans="1:3">
      <c r="A248" s="647" t="s">
        <v>407</v>
      </c>
      <c r="B248" s="647" t="s">
        <v>408</v>
      </c>
      <c r="C248" s="649"/>
    </row>
    <row r="249" spans="1:3">
      <c r="A249" s="647" t="s">
        <v>409</v>
      </c>
      <c r="B249" s="647" t="s">
        <v>410</v>
      </c>
      <c r="C249" s="649"/>
    </row>
    <row r="250" spans="1:3">
      <c r="A250" s="647" t="s">
        <v>411</v>
      </c>
      <c r="B250" s="647" t="s">
        <v>412</v>
      </c>
      <c r="C250" s="649"/>
    </row>
    <row r="251" spans="1:3">
      <c r="A251" s="647" t="s">
        <v>413</v>
      </c>
      <c r="B251" s="647" t="s">
        <v>414</v>
      </c>
      <c r="C251" s="649"/>
    </row>
    <row r="252" spans="1:3">
      <c r="A252" s="647" t="s">
        <v>415</v>
      </c>
      <c r="B252" s="647" t="s">
        <v>416</v>
      </c>
      <c r="C252" s="649"/>
    </row>
    <row r="253" spans="1:3">
      <c r="A253" s="647" t="s">
        <v>417</v>
      </c>
      <c r="B253" s="647" t="s">
        <v>418</v>
      </c>
      <c r="C253" s="649"/>
    </row>
    <row r="254" spans="1:3">
      <c r="A254" s="647" t="s">
        <v>419</v>
      </c>
      <c r="B254" s="647" t="s">
        <v>420</v>
      </c>
      <c r="C254" s="649"/>
    </row>
    <row r="255" spans="1:3">
      <c r="A255" s="643" t="str">
        <f>"61500"</f>
        <v>61500</v>
      </c>
      <c r="B255" s="644" t="str">
        <f>"Out of State Travel"</f>
        <v>Out of State Travel</v>
      </c>
      <c r="C255" s="649"/>
    </row>
    <row r="256" spans="1:3">
      <c r="A256" s="646" t="str">
        <f>"61600"</f>
        <v>61600</v>
      </c>
      <c r="B256" s="647" t="str">
        <f>"International Travel"</f>
        <v>International Travel</v>
      </c>
      <c r="C256" s="649"/>
    </row>
    <row r="257" spans="1:3">
      <c r="A257" s="643" t="str">
        <f>"62000"</f>
        <v>62000</v>
      </c>
      <c r="B257" s="644" t="str">
        <f>"Equipmnt Unit Cost &lt; $5000"</f>
        <v>Equipmnt Unit Cost &lt; $5000</v>
      </c>
      <c r="C257" s="649"/>
    </row>
    <row r="258" spans="1:3">
      <c r="A258" s="643" t="str">
        <f>"62004"</f>
        <v>62004</v>
      </c>
      <c r="B258" s="644" t="str">
        <f>"Computer Equip &lt; $5000"</f>
        <v>Computer Equip &lt; $5000</v>
      </c>
      <c r="C258" s="649"/>
    </row>
    <row r="259" spans="1:3">
      <c r="A259" s="646" t="str">
        <f>"62007"</f>
        <v>62007</v>
      </c>
      <c r="B259" s="647" t="str">
        <f>"Lab Equip &lt; $5000"</f>
        <v>Lab Equip &lt; $5000</v>
      </c>
      <c r="C259" s="649"/>
    </row>
    <row r="260" spans="1:3">
      <c r="A260" s="646" t="str">
        <f>"62008"</f>
        <v>62008</v>
      </c>
      <c r="B260" s="647" t="str">
        <f>"Library &amp; Museum Acq &lt; $5000"</f>
        <v>Library &amp; Museum Acq &lt; $5000</v>
      </c>
      <c r="C260" s="649"/>
    </row>
    <row r="261" spans="1:3">
      <c r="A261" s="646" t="str">
        <f>"62012"</f>
        <v>62012</v>
      </c>
      <c r="B261" s="647" t="str">
        <f>"Office Machines &lt; $5000"</f>
        <v>Office Machines &lt; $5000</v>
      </c>
      <c r="C261" s="649"/>
    </row>
    <row r="262" spans="1:3">
      <c r="A262" s="646" t="str">
        <f>"62014"</f>
        <v>62014</v>
      </c>
      <c r="B262" s="647" t="str">
        <f>"Scientific Instrumnts &lt; $5000"</f>
        <v>Scientific Instrumnts &lt; $5000</v>
      </c>
      <c r="C262" s="649"/>
    </row>
    <row r="263" spans="1:3">
      <c r="A263" s="643" t="str">
        <f>"62016"</f>
        <v>62016</v>
      </c>
      <c r="B263" s="644" t="str">
        <f>"Computer Software &lt; $5000"</f>
        <v>Computer Software &lt; $5000</v>
      </c>
      <c r="C263" s="649"/>
    </row>
    <row r="264" spans="1:3">
      <c r="A264" s="646" t="str">
        <f>"62500"</f>
        <v>62500</v>
      </c>
      <c r="B264" s="647" t="str">
        <f>"Equipment Unit Cost &gt;= $5000"</f>
        <v>Equipment Unit Cost &gt;= $5000</v>
      </c>
      <c r="C264" s="649"/>
    </row>
    <row r="265" spans="1:3">
      <c r="A265" s="646" t="str">
        <f>"62512"</f>
        <v>62512</v>
      </c>
      <c r="B265" s="647" t="str">
        <f>"Office Machines &gt;= $5000"</f>
        <v>Office Machines &gt;= $5000</v>
      </c>
      <c r="C265" s="649"/>
    </row>
    <row r="266" spans="1:3">
      <c r="A266" s="646" t="str">
        <f>"62514"</f>
        <v>62514</v>
      </c>
      <c r="B266" s="647" t="str">
        <f>"Scientific Instrumnts &gt;= $5000"</f>
        <v>Scientific Instrumnts &gt;= $5000</v>
      </c>
      <c r="C266" s="649"/>
    </row>
    <row r="267" spans="1:3">
      <c r="A267" s="643" t="str">
        <f>"62516"</f>
        <v>62516</v>
      </c>
      <c r="B267" s="644" t="str">
        <f>"Computer Software &gt;= $5000"</f>
        <v>Computer Software &gt;= $5000</v>
      </c>
      <c r="C267" s="649"/>
    </row>
    <row r="268" spans="1:3">
      <c r="A268" s="646" t="str">
        <f>"62700"</f>
        <v>62700</v>
      </c>
      <c r="B268" s="647" t="str">
        <f>"Equipment Replace &gt;= $5000"</f>
        <v>Equipment Replace &gt;= $5000</v>
      </c>
      <c r="C268" s="649"/>
    </row>
    <row r="269" spans="1:3">
      <c r="A269" s="646" t="str">
        <f>"62704"</f>
        <v>62704</v>
      </c>
      <c r="B269" s="647" t="str">
        <f>"Computer Equip Repl &gt;= $5000"</f>
        <v>Computer Equip Repl &gt;= $5000</v>
      </c>
      <c r="C269" s="649"/>
    </row>
    <row r="270" spans="1:3">
      <c r="A270" s="646" t="str">
        <f>"62707"</f>
        <v>62707</v>
      </c>
      <c r="B270" s="647" t="str">
        <f>"Lab Equip Replace &gt;= $5000"</f>
        <v>Lab Equip Replace &gt;= $5000</v>
      </c>
      <c r="C270" s="649"/>
    </row>
    <row r="271" spans="1:3">
      <c r="A271" s="646" t="str">
        <f>"62714"</f>
        <v>62714</v>
      </c>
      <c r="B271" s="647" t="str">
        <f>"Sci Instrumnts Repl &gt;= $5000"</f>
        <v>Sci Instrumnts Repl &gt;= $5000</v>
      </c>
      <c r="C271" s="649"/>
    </row>
    <row r="272" spans="1:3">
      <c r="A272" s="646" t="str">
        <f>"62716"</f>
        <v>62716</v>
      </c>
      <c r="B272" s="647" t="str">
        <f>"Computer Software Repl &gt;=$5000"</f>
        <v>Computer Software Repl &gt;=$5000</v>
      </c>
      <c r="C272" s="649"/>
    </row>
    <row r="273" spans="1:3">
      <c r="A273" s="646" t="str">
        <f>"64000"</f>
        <v>64000</v>
      </c>
      <c r="B273" s="647" t="str">
        <f>"Telephone &amp; Telecommunications"</f>
        <v>Telephone &amp; Telecommunications</v>
      </c>
      <c r="C273" s="649"/>
    </row>
    <row r="274" spans="1:3">
      <c r="A274" s="646" t="str">
        <f>"64011"</f>
        <v>64011</v>
      </c>
      <c r="B274" s="647" t="str">
        <f>"CPU Usage"</f>
        <v>CPU Usage</v>
      </c>
      <c r="C274" s="649"/>
    </row>
    <row r="275" spans="1:3">
      <c r="A275" s="646" t="str">
        <f>"64016"</f>
        <v>64016</v>
      </c>
      <c r="B275" s="647" t="str">
        <f>"Computer Services"</f>
        <v>Computer Services</v>
      </c>
      <c r="C275" s="649"/>
    </row>
    <row r="276" spans="1:3">
      <c r="A276" s="646" t="str">
        <f>"64017"</f>
        <v>64017</v>
      </c>
      <c r="B276" s="647" t="str">
        <f>"Web Server Fees"</f>
        <v>Web Server Fees</v>
      </c>
      <c r="C276" s="649"/>
    </row>
    <row r="277" spans="1:3">
      <c r="A277" s="643" t="str">
        <f>"64100"</f>
        <v>64100</v>
      </c>
      <c r="B277" s="644" t="str">
        <f>"Fuel Oil"</f>
        <v>Fuel Oil</v>
      </c>
      <c r="C277" s="649"/>
    </row>
    <row r="278" spans="1:3">
      <c r="A278" s="643" t="str">
        <f>"64300"</f>
        <v>64300</v>
      </c>
      <c r="B278" s="644" t="str">
        <f>"Electricity"</f>
        <v>Electricity</v>
      </c>
      <c r="C278" s="649"/>
    </row>
    <row r="279" spans="1:3">
      <c r="A279" s="643" t="str">
        <f>"64400"</f>
        <v>64400</v>
      </c>
      <c r="B279" s="644" t="str">
        <f>"Water"</f>
        <v>Water</v>
      </c>
      <c r="C279" s="649"/>
    </row>
    <row r="280" spans="1:3">
      <c r="A280" s="643" t="str">
        <f>"64410"</f>
        <v>64410</v>
      </c>
      <c r="B280" s="644" t="str">
        <f>"Sewer"</f>
        <v>Sewer</v>
      </c>
      <c r="C280" s="649"/>
    </row>
    <row r="281" spans="1:3">
      <c r="A281" s="643" t="str">
        <f>"64500"</f>
        <v>64500</v>
      </c>
      <c r="B281" s="644" t="str">
        <f>"Other Utilities"</f>
        <v>Other Utilities</v>
      </c>
      <c r="C281" s="649"/>
    </row>
    <row r="282" spans="1:3">
      <c r="A282" s="643" t="str">
        <f>"64600"</f>
        <v>64600</v>
      </c>
      <c r="B282" s="644" t="str">
        <f>"Vehicle Fuels"</f>
        <v>Vehicle Fuels</v>
      </c>
      <c r="C282" s="649"/>
    </row>
    <row r="283" spans="1:3">
      <c r="A283" s="643" t="str">
        <f>"64700"</f>
        <v>64700</v>
      </c>
      <c r="B283" s="644" t="str">
        <f>"Maintenance of Equipment"</f>
        <v>Maintenance of Equipment</v>
      </c>
      <c r="C283" s="649"/>
    </row>
    <row r="284" spans="1:3">
      <c r="A284" s="643" t="str">
        <f>"64800"</f>
        <v>64800</v>
      </c>
      <c r="B284" s="644" t="str">
        <f>"Maintenance of Facilities"</f>
        <v>Maintenance of Facilities</v>
      </c>
      <c r="C284" s="649"/>
    </row>
    <row r="285" spans="1:3">
      <c r="A285" s="643" t="str">
        <f>"64900"</f>
        <v>64900</v>
      </c>
      <c r="B285" s="644" t="str">
        <f>"Alterations and Renovations"</f>
        <v>Alterations and Renovations</v>
      </c>
      <c r="C285" s="649"/>
    </row>
    <row r="286" spans="1:3">
      <c r="A286" s="646" t="str">
        <f>"65000"</f>
        <v>65000</v>
      </c>
      <c r="B286" s="647" t="str">
        <f>"Undefined Expenses"</f>
        <v>Undefined Expenses</v>
      </c>
      <c r="C286" s="649"/>
    </row>
    <row r="287" spans="1:3">
      <c r="A287" s="646" t="str">
        <f>"65500"</f>
        <v>65500</v>
      </c>
      <c r="B287" s="647" t="str">
        <f>"Unassigned Budget"</f>
        <v>Unassigned Budget</v>
      </c>
      <c r="C287" s="649"/>
    </row>
    <row r="288" spans="1:3">
      <c r="A288" s="643" t="s">
        <v>421</v>
      </c>
      <c r="B288" s="644" t="str">
        <f>"F&amp;A Facilities and Admin Costs"</f>
        <v>F&amp;A Facilities and Admin Costs</v>
      </c>
      <c r="C288" s="649"/>
    </row>
    <row r="289" spans="1:3">
      <c r="A289" s="643" t="s">
        <v>422</v>
      </c>
      <c r="B289" s="644" t="s">
        <v>423</v>
      </c>
      <c r="C289" s="649"/>
    </row>
    <row r="290" spans="1:3">
      <c r="A290" s="643" t="s">
        <v>424</v>
      </c>
      <c r="B290" s="644" t="s">
        <v>425</v>
      </c>
      <c r="C290" s="649"/>
    </row>
    <row r="291" spans="1:3">
      <c r="A291" s="643" t="s">
        <v>426</v>
      </c>
      <c r="B291" s="644" t="s">
        <v>427</v>
      </c>
      <c r="C291" s="649"/>
    </row>
    <row r="292" spans="1:3">
      <c r="A292" s="643" t="s">
        <v>428</v>
      </c>
      <c r="B292" s="644" t="s">
        <v>429</v>
      </c>
      <c r="C292" s="649"/>
    </row>
    <row r="293" spans="1:3">
      <c r="A293" s="643" t="s">
        <v>430</v>
      </c>
      <c r="B293" s="644" t="s">
        <v>431</v>
      </c>
      <c r="C293" s="649"/>
    </row>
    <row r="294" spans="1:3">
      <c r="A294" s="653">
        <v>72800</v>
      </c>
      <c r="B294" s="644" t="s">
        <v>432</v>
      </c>
      <c r="C294" s="223"/>
    </row>
  </sheetData>
  <sheetProtection algorithmName="SHA-512" hashValue="aKzOa5ukSNFFV0ReiZvO/GfIjjPlwBcmTzXJ6e1M3da2blFJP17bxE725dvjdVra3UgxEyMHtXXyHzae7sG42A==" saltValue="lepFXqxLcHl016U+11aLPA==" spinCount="100000" sheet="1" objects="1" scenarios="1"/>
  <mergeCells count="3">
    <mergeCell ref="A93:C93"/>
    <mergeCell ref="A63:C63"/>
    <mergeCell ref="A1:C1"/>
  </mergeCells>
  <phoneticPr fontId="12" type="noConversion"/>
  <pageMargins left="0.75" right="0.75" top="1" bottom="1" header="0.5" footer="0.5"/>
  <pageSetup orientation="portrait" horizontalDpi="4294967293" r:id="rId1"/>
  <headerFooter alignWithMargins="0"/>
  <ignoredErrors>
    <ignoredError sqref="A13 A24 A43:B43 A26:A28 A45 A129:B142 A58:A62 A91:B92 A64:B64 A68:B68 A74:B76 A81:B83 B85 A99:B101 B105 A255:B287 A184:B184 B187:B188 B190 A204:B210 A214:B215 A241:B241 B288" unlockedFormula="1"/>
    <ignoredError sqref="A47 A23 A44 A52:A53 A56:A57 A69:A73 A77:A80 A84 A86:A90 A95:B95 A97:B98 A102:A104 A106:A119 A143:A158 A159:A183 A185:A186 A189 A191:A203 A211:A213 A222:A240 A216:A219 A220:A221 A242:A254 A288:A293 A121:A128" numberStoredAsText="1"/>
    <ignoredError sqref="A85 A96:B96 A105 A190 A187:A188" numberStoredAsText="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E187"/>
  <sheetViews>
    <sheetView tabSelected="1" zoomScaleNormal="100" workbookViewId="0">
      <pane ySplit="6" topLeftCell="A7" activePane="bottomLeft" state="frozen"/>
      <selection pane="bottomLeft" activeCell="H16" sqref="H16"/>
    </sheetView>
  </sheetViews>
  <sheetFormatPr defaultColWidth="9.140625" defaultRowHeight="12.75"/>
  <cols>
    <col min="1" max="1" width="7.85546875" style="223" customWidth="1"/>
    <col min="2" max="2" width="5.5703125" style="223" customWidth="1"/>
    <col min="3" max="3" width="29.28515625" customWidth="1"/>
    <col min="4" max="4" width="13.85546875" customWidth="1"/>
    <col min="5" max="5" width="13.42578125" customWidth="1"/>
    <col min="6" max="6" width="14" customWidth="1"/>
    <col min="7" max="7" width="13.5703125" customWidth="1"/>
    <col min="8" max="8" width="13.28515625" customWidth="1"/>
    <col min="9" max="9" width="14.28515625" customWidth="1"/>
    <col min="10" max="10" width="12.28515625" style="209" customWidth="1"/>
    <col min="11" max="11" width="12.28515625" customWidth="1"/>
    <col min="12" max="12" width="21.7109375" customWidth="1"/>
    <col min="13" max="13" width="33.5703125" customWidth="1"/>
    <col min="14" max="14" width="11.28515625" customWidth="1"/>
    <col min="15" max="15" width="9.140625" customWidth="1"/>
    <col min="16" max="16" width="6.42578125" customWidth="1"/>
    <col min="17" max="17" width="0.140625" hidden="1" customWidth="1"/>
    <col min="18" max="18" width="17.28515625" hidden="1" customWidth="1"/>
    <col min="19" max="19" width="13.28515625" hidden="1" customWidth="1"/>
    <col min="20" max="20" width="0.42578125" hidden="1" customWidth="1"/>
    <col min="21" max="21" width="13.7109375" hidden="1" customWidth="1"/>
    <col min="22" max="22" width="17.5703125" hidden="1" customWidth="1"/>
    <col min="23" max="25" width="9.140625" customWidth="1"/>
    <col min="26" max="26" width="14.5703125" customWidth="1"/>
    <col min="27" max="31" width="9.140625" customWidth="1"/>
    <col min="32" max="32" width="8.28515625" customWidth="1"/>
    <col min="33" max="33" width="9.140625" customWidth="1"/>
  </cols>
  <sheetData>
    <row r="1" spans="1:31" ht="25.5" customHeight="1">
      <c r="A1" s="729" t="s">
        <v>433</v>
      </c>
      <c r="B1" s="730"/>
      <c r="C1" s="731"/>
      <c r="D1" s="729" t="s">
        <v>434</v>
      </c>
      <c r="E1" s="747"/>
      <c r="F1" s="747"/>
      <c r="G1" s="747"/>
      <c r="H1" s="747"/>
      <c r="I1" s="748"/>
      <c r="J1" s="744" t="str">
        <f>Instructions!A42</f>
        <v>ORA Budget Form Revised  10/15/24</v>
      </c>
      <c r="K1" s="745"/>
      <c r="L1" s="745"/>
      <c r="M1" s="746"/>
    </row>
    <row r="2" spans="1:31" ht="12.95" customHeight="1">
      <c r="A2" s="782" t="s">
        <v>435</v>
      </c>
      <c r="B2" s="783"/>
      <c r="C2" s="192" t="s">
        <v>436</v>
      </c>
      <c r="D2" s="780"/>
      <c r="E2" s="786"/>
      <c r="F2" s="749" t="s">
        <v>437</v>
      </c>
      <c r="G2" s="779"/>
      <c r="H2" s="780"/>
      <c r="I2" s="781"/>
      <c r="J2" s="802" t="s">
        <v>438</v>
      </c>
      <c r="K2" s="803"/>
      <c r="L2" s="803"/>
      <c r="M2" s="803"/>
      <c r="X2" s="235"/>
    </row>
    <row r="3" spans="1:31" ht="11.25" customHeight="1">
      <c r="A3" s="784" t="s">
        <v>439</v>
      </c>
      <c r="B3" s="785"/>
      <c r="C3" s="192" t="s">
        <v>440</v>
      </c>
      <c r="D3" s="790"/>
      <c r="E3" s="1026"/>
      <c r="F3" s="749" t="s">
        <v>441</v>
      </c>
      <c r="G3" s="750"/>
      <c r="H3" s="790"/>
      <c r="I3" s="791"/>
      <c r="J3" s="804"/>
      <c r="K3" s="804"/>
      <c r="L3" s="804"/>
      <c r="M3" s="804"/>
      <c r="X3" s="235"/>
    </row>
    <row r="4" spans="1:31" ht="12.75" customHeight="1">
      <c r="A4" s="794"/>
      <c r="B4" s="1027"/>
      <c r="C4" s="22" t="s">
        <v>442</v>
      </c>
      <c r="D4" s="658"/>
      <c r="E4" s="659"/>
      <c r="F4" s="749" t="s">
        <v>443</v>
      </c>
      <c r="G4" s="1028"/>
      <c r="H4" s="790"/>
      <c r="I4" s="791"/>
      <c r="J4" s="738" t="s">
        <v>444</v>
      </c>
      <c r="K4" s="739"/>
      <c r="L4" s="739"/>
      <c r="M4" s="739"/>
    </row>
    <row r="5" spans="1:31" ht="12.95" customHeight="1">
      <c r="A5" s="799" t="s">
        <v>445</v>
      </c>
      <c r="B5" s="795" t="s">
        <v>446</v>
      </c>
      <c r="C5" s="801" t="s">
        <v>447</v>
      </c>
      <c r="D5" s="797" t="s">
        <v>448</v>
      </c>
      <c r="E5" s="732" t="s">
        <v>449</v>
      </c>
      <c r="F5" s="732" t="s">
        <v>450</v>
      </c>
      <c r="G5" s="732" t="s">
        <v>451</v>
      </c>
      <c r="H5" s="732" t="s">
        <v>452</v>
      </c>
      <c r="I5" s="734" t="s">
        <v>453</v>
      </c>
      <c r="J5" s="740"/>
      <c r="K5" s="740"/>
      <c r="L5" s="740"/>
      <c r="M5" s="740"/>
    </row>
    <row r="6" spans="1:31" ht="18" customHeight="1">
      <c r="A6" s="800"/>
      <c r="B6" s="796"/>
      <c r="C6" s="787"/>
      <c r="D6" s="798"/>
      <c r="E6" s="733"/>
      <c r="F6" s="733"/>
      <c r="G6" s="733"/>
      <c r="H6" s="733"/>
      <c r="I6" s="735"/>
      <c r="J6" s="741"/>
      <c r="K6" s="741"/>
      <c r="L6" s="741"/>
      <c r="M6" s="741"/>
      <c r="N6" s="193">
        <f>IF(H2="",0.485,0)</f>
        <v>0.48499999999999999</v>
      </c>
      <c r="Q6" s="194"/>
      <c r="R6" s="195"/>
      <c r="S6" s="195"/>
      <c r="T6" s="195"/>
      <c r="U6" s="195"/>
      <c r="V6" s="195"/>
      <c r="W6" s="195"/>
    </row>
    <row r="7" spans="1:31" ht="13.5" customHeight="1">
      <c r="A7" s="196" t="s">
        <v>454</v>
      </c>
      <c r="B7" s="14" t="s">
        <v>455</v>
      </c>
      <c r="C7" s="28"/>
      <c r="D7" s="28"/>
      <c r="E7" s="660"/>
      <c r="F7" s="660"/>
      <c r="G7" s="660"/>
      <c r="H7" s="660"/>
      <c r="I7" s="463"/>
      <c r="J7" s="459" t="s">
        <v>51</v>
      </c>
      <c r="K7" s="742" t="s">
        <v>52</v>
      </c>
      <c r="L7" s="743"/>
      <c r="M7" s="661" t="s">
        <v>456</v>
      </c>
      <c r="N7" s="193">
        <f>IF(H2="I",0.53,0)</f>
        <v>0</v>
      </c>
      <c r="O7" s="442"/>
      <c r="P7" s="285"/>
      <c r="Q7" s="443"/>
      <c r="R7" s="223"/>
      <c r="S7" s="223"/>
      <c r="T7" s="223"/>
      <c r="U7" s="223"/>
      <c r="V7" s="443"/>
      <c r="W7" s="63"/>
      <c r="Z7" s="235" t="s">
        <v>436</v>
      </c>
    </row>
    <row r="8" spans="1:31" ht="12.95" customHeight="1">
      <c r="A8" s="662"/>
      <c r="B8" s="86"/>
      <c r="C8" s="353"/>
      <c r="D8" s="64"/>
      <c r="E8" s="7"/>
      <c r="F8" s="7"/>
      <c r="G8" s="7"/>
      <c r="H8" s="161"/>
      <c r="I8" s="77">
        <f t="shared" ref="I8:I13" si="0">SUM(D8:H8)</f>
        <v>0</v>
      </c>
      <c r="J8" s="446">
        <v>50010</v>
      </c>
      <c r="K8" s="1029" t="s">
        <v>457</v>
      </c>
      <c r="L8" s="1030"/>
      <c r="M8" s="448" t="s">
        <v>57</v>
      </c>
      <c r="N8" s="193">
        <f>IF(H2="R",0.485,0)</f>
        <v>0</v>
      </c>
      <c r="O8" s="285"/>
      <c r="P8" s="285"/>
      <c r="V8" s="146"/>
      <c r="X8" s="787"/>
      <c r="Z8" s="235" t="s">
        <v>458</v>
      </c>
      <c r="AA8" s="198"/>
      <c r="AB8" s="198"/>
      <c r="AC8" s="198"/>
      <c r="AD8" s="198"/>
      <c r="AE8" s="198"/>
    </row>
    <row r="9" spans="1:31" ht="12.95" customHeight="1">
      <c r="A9" s="662"/>
      <c r="B9" s="87"/>
      <c r="C9" s="354"/>
      <c r="D9" s="65"/>
      <c r="E9" s="8"/>
      <c r="F9" s="8"/>
      <c r="G9" s="8"/>
      <c r="H9" s="163"/>
      <c r="I9" s="78">
        <f t="shared" si="0"/>
        <v>0</v>
      </c>
      <c r="J9" s="446" t="s">
        <v>459</v>
      </c>
      <c r="K9" s="1031" t="s">
        <v>460</v>
      </c>
      <c r="L9" s="1030"/>
      <c r="M9" s="448" t="s">
        <v>55</v>
      </c>
      <c r="N9" s="193">
        <f>IF(H2="O",0.32,0)</f>
        <v>0</v>
      </c>
      <c r="O9" s="285"/>
      <c r="P9" s="285"/>
      <c r="V9" s="146"/>
      <c r="X9" s="788"/>
      <c r="Z9" t="s">
        <v>461</v>
      </c>
      <c r="AA9" s="198"/>
      <c r="AB9" s="198"/>
      <c r="AC9" s="198"/>
      <c r="AD9" s="198"/>
      <c r="AE9" s="198"/>
    </row>
    <row r="10" spans="1:31" ht="12.95" customHeight="1">
      <c r="A10" s="663"/>
      <c r="B10" s="87"/>
      <c r="C10" s="162"/>
      <c r="D10" s="65"/>
      <c r="E10" s="8"/>
      <c r="F10" s="8"/>
      <c r="G10" s="8"/>
      <c r="H10" s="163"/>
      <c r="I10" s="78">
        <f t="shared" si="0"/>
        <v>0</v>
      </c>
      <c r="J10" s="446" t="s">
        <v>462</v>
      </c>
      <c r="K10" s="1031" t="s">
        <v>463</v>
      </c>
      <c r="L10" s="1030"/>
      <c r="M10" s="448" t="s">
        <v>55</v>
      </c>
      <c r="N10" s="193">
        <f>SUM(N6:N9)</f>
        <v>0.48499999999999999</v>
      </c>
      <c r="O10" s="285"/>
      <c r="P10" s="285"/>
      <c r="V10" s="146"/>
      <c r="W10" s="146"/>
      <c r="X10" s="788"/>
      <c r="Z10" t="s">
        <v>464</v>
      </c>
      <c r="AA10" s="198"/>
      <c r="AB10" s="198"/>
      <c r="AC10" s="198"/>
      <c r="AD10" s="198"/>
      <c r="AE10" s="198"/>
    </row>
    <row r="11" spans="1:31" ht="12.95" customHeight="1">
      <c r="A11" s="663"/>
      <c r="B11" s="81"/>
      <c r="C11" s="164"/>
      <c r="D11" s="95"/>
      <c r="E11" s="157"/>
      <c r="F11" s="157"/>
      <c r="G11" s="157"/>
      <c r="H11" s="133"/>
      <c r="I11" s="78">
        <f t="shared" si="0"/>
        <v>0</v>
      </c>
      <c r="J11" s="446" t="s">
        <v>465</v>
      </c>
      <c r="K11" s="1031" t="s">
        <v>466</v>
      </c>
      <c r="L11" s="1030"/>
      <c r="M11" s="448" t="s">
        <v>55</v>
      </c>
      <c r="O11" s="285"/>
      <c r="P11" s="285"/>
      <c r="V11" s="146"/>
      <c r="Z11" t="s">
        <v>467</v>
      </c>
      <c r="AA11" s="198"/>
      <c r="AB11" s="198"/>
      <c r="AC11" s="198"/>
      <c r="AD11" s="198"/>
      <c r="AE11" s="198"/>
    </row>
    <row r="12" spans="1:31" ht="12.95" customHeight="1">
      <c r="A12" s="664" t="s">
        <v>468</v>
      </c>
      <c r="B12" s="789" t="s">
        <v>469</v>
      </c>
      <c r="C12" s="763"/>
      <c r="D12" s="33">
        <f>IF(D105="","",D105)</f>
        <v>0</v>
      </c>
      <c r="E12" s="25">
        <f>IF(E105="","",E105)</f>
        <v>0</v>
      </c>
      <c r="F12" s="25">
        <f>IF(F105="","",F105)</f>
        <v>0</v>
      </c>
      <c r="G12" s="25">
        <f>IF(G105="","",G105)</f>
        <v>0</v>
      </c>
      <c r="H12" s="25">
        <f>IF(H105="","",H105)</f>
        <v>0</v>
      </c>
      <c r="I12" s="173">
        <f t="shared" si="0"/>
        <v>0</v>
      </c>
      <c r="J12" s="460" t="s">
        <v>470</v>
      </c>
      <c r="K12" s="792" t="s">
        <v>471</v>
      </c>
      <c r="L12" s="793"/>
      <c r="M12" s="448" t="s">
        <v>55</v>
      </c>
      <c r="O12" s="197"/>
      <c r="P12" s="197"/>
      <c r="Z12" t="s">
        <v>472</v>
      </c>
    </row>
    <row r="13" spans="1:31" ht="12.95" customHeight="1">
      <c r="A13" s="156"/>
      <c r="B13" s="752" t="s">
        <v>473</v>
      </c>
      <c r="C13" s="753"/>
      <c r="D13" s="35">
        <f>SUM(D8:D12)</f>
        <v>0</v>
      </c>
      <c r="E13" s="26">
        <f>SUM(E8:E12)</f>
        <v>0</v>
      </c>
      <c r="F13" s="26">
        <f>SUM(F8:F12)</f>
        <v>0</v>
      </c>
      <c r="G13" s="26">
        <f>SUM(G8:G12)</f>
        <v>0</v>
      </c>
      <c r="H13" s="26">
        <f>SUM(H8:H12)</f>
        <v>0</v>
      </c>
      <c r="I13" s="174">
        <f t="shared" si="0"/>
        <v>0</v>
      </c>
      <c r="J13" s="447" t="s">
        <v>474</v>
      </c>
      <c r="K13" s="1032" t="s">
        <v>475</v>
      </c>
      <c r="L13" s="1030"/>
      <c r="M13" s="449" t="s">
        <v>57</v>
      </c>
      <c r="V13" s="146"/>
      <c r="X13" s="200"/>
      <c r="Z13" t="s">
        <v>476</v>
      </c>
      <c r="AA13" s="198"/>
      <c r="AB13" s="198"/>
      <c r="AC13" s="198"/>
      <c r="AD13" s="198"/>
      <c r="AE13" s="198"/>
    </row>
    <row r="14" spans="1:31" ht="12.95" customHeight="1">
      <c r="A14" s="156"/>
      <c r="B14" s="14" t="s">
        <v>477</v>
      </c>
      <c r="C14" s="28"/>
      <c r="D14" s="28"/>
      <c r="E14" s="28"/>
      <c r="F14" s="28"/>
      <c r="G14" s="28"/>
      <c r="H14" s="28"/>
      <c r="I14" s="172"/>
      <c r="V14" s="146"/>
      <c r="X14" s="197"/>
      <c r="Z14" s="198"/>
      <c r="AA14" s="198"/>
      <c r="AB14" s="198"/>
      <c r="AC14" s="198"/>
      <c r="AD14" s="198"/>
      <c r="AE14" s="198"/>
    </row>
    <row r="15" spans="1:31" ht="12.95" customHeight="1">
      <c r="A15" s="665">
        <v>51100</v>
      </c>
      <c r="B15" s="86"/>
      <c r="C15" s="260" t="s">
        <v>478</v>
      </c>
      <c r="D15" s="12"/>
      <c r="E15" s="7"/>
      <c r="F15" s="7"/>
      <c r="G15" s="7"/>
      <c r="H15" s="161"/>
      <c r="I15" s="78">
        <f t="shared" ref="I15:I26" si="1">SUM(D15:H15)</f>
        <v>0</v>
      </c>
      <c r="J15" s="201" t="s">
        <v>479</v>
      </c>
      <c r="K15" s="202"/>
      <c r="L15" s="202"/>
      <c r="M15" s="202"/>
      <c r="V15" s="146"/>
      <c r="W15" s="146"/>
      <c r="X15" s="197"/>
      <c r="Z15" s="198"/>
      <c r="AA15" s="198"/>
      <c r="AB15" s="198"/>
      <c r="AC15" s="198"/>
      <c r="AD15" s="198"/>
      <c r="AE15" s="198"/>
    </row>
    <row r="16" spans="1:31" ht="12.95" customHeight="1">
      <c r="A16" s="665">
        <v>51100</v>
      </c>
      <c r="B16" s="87"/>
      <c r="C16" s="261" t="s">
        <v>480</v>
      </c>
      <c r="D16" s="65"/>
      <c r="E16" s="8"/>
      <c r="F16" s="8"/>
      <c r="G16" s="8"/>
      <c r="H16" s="163"/>
      <c r="I16" s="78">
        <f t="shared" si="1"/>
        <v>0</v>
      </c>
      <c r="J16" s="201" t="s">
        <v>481</v>
      </c>
      <c r="K16" s="202"/>
      <c r="L16" s="202"/>
      <c r="M16" s="202"/>
      <c r="V16" s="146"/>
      <c r="Z16" s="198"/>
      <c r="AA16" s="198"/>
      <c r="AB16" s="198"/>
      <c r="AC16" s="198"/>
      <c r="AD16" s="198"/>
      <c r="AE16" s="198"/>
    </row>
    <row r="17" spans="1:31" ht="12.95" customHeight="1">
      <c r="A17" s="665">
        <v>53601</v>
      </c>
      <c r="B17" s="87"/>
      <c r="C17" s="261" t="s">
        <v>482</v>
      </c>
      <c r="D17" s="65"/>
      <c r="E17" s="8"/>
      <c r="F17" s="8"/>
      <c r="G17" s="8"/>
      <c r="H17" s="163"/>
      <c r="I17" s="78">
        <f t="shared" si="1"/>
        <v>0</v>
      </c>
      <c r="J17" s="201" t="s">
        <v>483</v>
      </c>
      <c r="K17" s="202"/>
      <c r="L17" s="202"/>
      <c r="M17" s="202"/>
      <c r="V17" s="146"/>
      <c r="X17" s="200"/>
      <c r="Z17" s="198"/>
      <c r="AA17" s="198"/>
      <c r="AB17" s="198"/>
      <c r="AC17" s="198"/>
      <c r="AD17" s="198"/>
      <c r="AE17" s="198"/>
    </row>
    <row r="18" spans="1:31" ht="12.95" customHeight="1">
      <c r="A18" s="665">
        <v>53300</v>
      </c>
      <c r="B18" s="87"/>
      <c r="C18" s="261" t="s">
        <v>484</v>
      </c>
      <c r="D18" s="65"/>
      <c r="E18" s="8"/>
      <c r="F18" s="8"/>
      <c r="G18" s="8"/>
      <c r="H18" s="163"/>
      <c r="I18" s="78">
        <f t="shared" si="1"/>
        <v>0</v>
      </c>
      <c r="J18" s="201" t="s">
        <v>485</v>
      </c>
      <c r="K18" s="202"/>
      <c r="L18" s="202"/>
      <c r="M18" s="202"/>
      <c r="V18" s="146"/>
      <c r="X18" s="197"/>
      <c r="Z18" s="198"/>
      <c r="AA18" s="198"/>
      <c r="AB18" s="198"/>
      <c r="AC18" s="198"/>
      <c r="AD18" s="198"/>
      <c r="AE18" s="198"/>
    </row>
    <row r="19" spans="1:31" ht="12.95" customHeight="1">
      <c r="A19" s="665">
        <v>52200</v>
      </c>
      <c r="B19" s="87"/>
      <c r="C19" s="261" t="s">
        <v>486</v>
      </c>
      <c r="D19" s="65"/>
      <c r="E19" s="8"/>
      <c r="F19" s="8"/>
      <c r="G19" s="8"/>
      <c r="H19" s="163"/>
      <c r="I19" s="78">
        <f t="shared" si="1"/>
        <v>0</v>
      </c>
      <c r="J19" s="203" t="s">
        <v>487</v>
      </c>
      <c r="K19" s="202"/>
      <c r="L19" s="202"/>
      <c r="M19" s="202"/>
      <c r="V19" s="146"/>
      <c r="W19" s="146"/>
      <c r="X19" s="197"/>
      <c r="Z19" s="198"/>
      <c r="AA19" s="198"/>
      <c r="AB19" s="198"/>
      <c r="AC19" s="198"/>
      <c r="AD19" s="198"/>
      <c r="AE19" s="198"/>
    </row>
    <row r="20" spans="1:31" ht="12.95" customHeight="1">
      <c r="A20" s="665">
        <v>51012</v>
      </c>
      <c r="B20" s="87"/>
      <c r="C20" s="261" t="s">
        <v>488</v>
      </c>
      <c r="D20" s="65"/>
      <c r="E20" s="8"/>
      <c r="F20" s="8"/>
      <c r="G20" s="8"/>
      <c r="H20" s="163"/>
      <c r="I20" s="78">
        <f t="shared" si="1"/>
        <v>0</v>
      </c>
      <c r="J20" s="203" t="s">
        <v>489</v>
      </c>
      <c r="K20" s="202"/>
      <c r="L20" s="202"/>
      <c r="M20" s="202"/>
      <c r="V20" s="146"/>
      <c r="Z20" s="198"/>
      <c r="AA20" s="198"/>
      <c r="AB20" s="198"/>
      <c r="AC20" s="198"/>
      <c r="AD20" s="198"/>
      <c r="AE20" s="198"/>
    </row>
    <row r="21" spans="1:31" ht="12.95" customHeight="1">
      <c r="A21" s="155">
        <v>52012</v>
      </c>
      <c r="B21" s="87"/>
      <c r="C21" s="261" t="s">
        <v>490</v>
      </c>
      <c r="D21" s="65"/>
      <c r="E21" s="8"/>
      <c r="F21" s="8"/>
      <c r="G21" s="8"/>
      <c r="H21" s="163"/>
      <c r="I21" s="78">
        <f t="shared" si="1"/>
        <v>0</v>
      </c>
      <c r="J21" s="201" t="s">
        <v>491</v>
      </c>
      <c r="K21" s="204"/>
      <c r="L21" s="205"/>
      <c r="M21" s="202"/>
      <c r="V21" s="146"/>
      <c r="X21" s="200"/>
      <c r="Z21" s="198"/>
      <c r="AA21" s="198"/>
      <c r="AB21" s="198"/>
      <c r="AC21" s="198"/>
      <c r="AD21" s="198"/>
      <c r="AE21" s="198"/>
    </row>
    <row r="22" spans="1:31" ht="12.95" customHeight="1">
      <c r="A22" s="666"/>
      <c r="B22" s="81" t="s">
        <v>492</v>
      </c>
      <c r="C22" s="553" t="s">
        <v>13</v>
      </c>
      <c r="D22" s="95"/>
      <c r="E22" s="95"/>
      <c r="F22" s="95"/>
      <c r="G22" s="95"/>
      <c r="H22" s="95"/>
      <c r="I22" s="78">
        <f t="shared" si="1"/>
        <v>0</v>
      </c>
      <c r="J22" s="206" t="s">
        <v>493</v>
      </c>
      <c r="K22" s="207"/>
      <c r="L22" s="207"/>
      <c r="M22" s="207"/>
      <c r="N22" s="475"/>
      <c r="O22" s="475"/>
      <c r="P22" s="475"/>
      <c r="Q22" s="475"/>
      <c r="R22" s="475"/>
      <c r="S22" s="475"/>
      <c r="T22" s="475"/>
      <c r="U22" s="475"/>
      <c r="V22" s="476"/>
      <c r="W22" s="475"/>
      <c r="X22" s="200"/>
      <c r="Y22" s="235"/>
      <c r="Z22" s="450"/>
      <c r="AA22" s="198"/>
      <c r="AB22" s="198"/>
      <c r="AC22" s="198"/>
      <c r="AD22" s="198"/>
      <c r="AE22" s="198"/>
    </row>
    <row r="23" spans="1:31" ht="12.95" customHeight="1">
      <c r="A23" s="156"/>
      <c r="B23" s="789" t="s">
        <v>494</v>
      </c>
      <c r="C23" s="763"/>
      <c r="D23" s="33">
        <f>SUM(D15:D22)+D13</f>
        <v>0</v>
      </c>
      <c r="E23" s="25">
        <f>SUM(E15:E22)+E13</f>
        <v>0</v>
      </c>
      <c r="F23" s="25">
        <f>SUM(F15:F22)+F13</f>
        <v>0</v>
      </c>
      <c r="G23" s="25">
        <f>SUM(G15:G22)+G13</f>
        <v>0</v>
      </c>
      <c r="H23" s="25">
        <f>SUM(H15:H22)+H13</f>
        <v>0</v>
      </c>
      <c r="I23" s="173">
        <f t="shared" si="1"/>
        <v>0</v>
      </c>
      <c r="J23" s="206" t="s">
        <v>495</v>
      </c>
      <c r="K23" s="207"/>
      <c r="L23" s="207"/>
      <c r="M23" s="207"/>
      <c r="V23" s="146"/>
      <c r="W23" s="146"/>
      <c r="X23" s="197"/>
      <c r="Z23" s="198"/>
      <c r="AA23" s="198"/>
      <c r="AB23" s="198"/>
      <c r="AC23" s="198"/>
      <c r="AD23" s="198"/>
      <c r="AE23" s="198"/>
    </row>
    <row r="24" spans="1:31" ht="12.95" customHeight="1">
      <c r="A24" s="665">
        <v>54800</v>
      </c>
      <c r="B24" s="155"/>
      <c r="C24" s="37" t="s">
        <v>496</v>
      </c>
      <c r="D24" s="33">
        <f t="shared" ref="D24:H25" si="2">D76</f>
        <v>0</v>
      </c>
      <c r="E24" s="25">
        <f t="shared" si="2"/>
        <v>0</v>
      </c>
      <c r="F24" s="25">
        <f t="shared" si="2"/>
        <v>0</v>
      </c>
      <c r="G24" s="25">
        <f t="shared" si="2"/>
        <v>0</v>
      </c>
      <c r="H24" s="25">
        <f t="shared" si="2"/>
        <v>0</v>
      </c>
      <c r="I24" s="173">
        <f t="shared" si="1"/>
        <v>0</v>
      </c>
      <c r="J24" s="206" t="s">
        <v>497</v>
      </c>
      <c r="K24" s="207"/>
      <c r="L24" s="207"/>
      <c r="M24" s="207"/>
      <c r="V24" s="146"/>
      <c r="Z24" s="198"/>
      <c r="AA24" s="198"/>
      <c r="AB24" s="198"/>
      <c r="AC24" s="198"/>
      <c r="AD24" s="198"/>
      <c r="AE24" s="198"/>
    </row>
    <row r="25" spans="1:31" ht="12.95" customHeight="1">
      <c r="A25" s="665">
        <v>54810</v>
      </c>
      <c r="B25" s="199"/>
      <c r="C25" s="208" t="s">
        <v>498</v>
      </c>
      <c r="D25" s="33">
        <f t="shared" si="2"/>
        <v>0</v>
      </c>
      <c r="E25" s="25">
        <f t="shared" si="2"/>
        <v>0</v>
      </c>
      <c r="F25" s="25">
        <f t="shared" si="2"/>
        <v>0</v>
      </c>
      <c r="G25" s="25">
        <f t="shared" si="2"/>
        <v>0</v>
      </c>
      <c r="H25" s="25">
        <f t="shared" si="2"/>
        <v>0</v>
      </c>
      <c r="I25" s="173">
        <f t="shared" si="1"/>
        <v>0</v>
      </c>
      <c r="J25" s="554" t="s">
        <v>499</v>
      </c>
      <c r="K25" s="555">
        <f>SUM(D24,D25)</f>
        <v>0</v>
      </c>
      <c r="L25" s="554" t="s">
        <v>500</v>
      </c>
      <c r="M25" s="555">
        <f>SUM(E24,E25)</f>
        <v>0</v>
      </c>
      <c r="N25" s="554" t="s">
        <v>501</v>
      </c>
      <c r="O25" s="555">
        <f>SUM(F24,F25)</f>
        <v>0</v>
      </c>
      <c r="V25" s="146"/>
      <c r="X25" s="200"/>
      <c r="Z25" s="198"/>
      <c r="AA25" s="198"/>
      <c r="AB25" s="198"/>
      <c r="AC25" s="198"/>
      <c r="AD25" s="198"/>
      <c r="AE25" s="198"/>
    </row>
    <row r="26" spans="1:31" ht="12.95" customHeight="1">
      <c r="A26" s="156"/>
      <c r="B26" s="817" t="s">
        <v>502</v>
      </c>
      <c r="C26" s="775"/>
      <c r="D26" s="35">
        <f>SUM(D23:D25)</f>
        <v>0</v>
      </c>
      <c r="E26" s="26">
        <f>SUM(E23:E25)</f>
        <v>0</v>
      </c>
      <c r="F26" s="26">
        <f>SUM(F23:F25)</f>
        <v>0</v>
      </c>
      <c r="G26" s="26">
        <f>SUM(G23:G25)</f>
        <v>0</v>
      </c>
      <c r="H26" s="26">
        <f>SUM(H23:H25)</f>
        <v>0</v>
      </c>
      <c r="I26" s="174">
        <f t="shared" si="1"/>
        <v>0</v>
      </c>
      <c r="J26" s="554" t="s">
        <v>503</v>
      </c>
      <c r="K26" s="555">
        <f>SUM(G24,G25)</f>
        <v>0</v>
      </c>
      <c r="L26" s="554" t="s">
        <v>504</v>
      </c>
      <c r="M26" s="555">
        <f>SUM(H24,H25)</f>
        <v>0</v>
      </c>
      <c r="N26" s="555" t="s">
        <v>505</v>
      </c>
      <c r="O26" s="555">
        <f>SUM(I24,I25)</f>
        <v>0</v>
      </c>
      <c r="P26" s="598"/>
      <c r="Q26" s="599"/>
      <c r="R26" s="600"/>
      <c r="S26" s="600"/>
      <c r="T26" s="600"/>
      <c r="U26" s="600"/>
      <c r="V26" s="599"/>
      <c r="W26" s="600"/>
      <c r="X26" s="598"/>
      <c r="Y26" s="599"/>
      <c r="Z26" s="198"/>
      <c r="AA26" s="198"/>
      <c r="AB26" s="198"/>
      <c r="AC26" s="198"/>
      <c r="AD26" s="198"/>
      <c r="AE26" s="198"/>
    </row>
    <row r="27" spans="1:31" ht="12.95" customHeight="1">
      <c r="A27" s="156"/>
      <c r="B27" s="210" t="s">
        <v>506</v>
      </c>
      <c r="C27" s="28"/>
      <c r="D27" s="28"/>
      <c r="E27" s="28"/>
      <c r="F27" s="28"/>
      <c r="G27" s="28"/>
      <c r="H27" s="28"/>
      <c r="I27" s="172"/>
      <c r="J27" s="751" t="s">
        <v>507</v>
      </c>
      <c r="K27" s="723"/>
      <c r="L27" s="723"/>
      <c r="M27" s="723"/>
      <c r="V27" s="146"/>
      <c r="W27" s="146"/>
      <c r="X27" s="197"/>
      <c r="Z27" s="198"/>
      <c r="AA27" s="198"/>
      <c r="AB27" s="198"/>
      <c r="AC27" s="198"/>
      <c r="AD27" s="198"/>
      <c r="AE27" s="198"/>
    </row>
    <row r="28" spans="1:31" ht="12.95" customHeight="1">
      <c r="A28" s="667"/>
      <c r="B28" s="86"/>
      <c r="C28" s="2"/>
      <c r="D28" s="64"/>
      <c r="E28" s="7"/>
      <c r="F28" s="7"/>
      <c r="G28" s="7"/>
      <c r="H28" s="161"/>
      <c r="I28" s="175">
        <f>SUM(D28:H28)</f>
        <v>0</v>
      </c>
      <c r="J28" s="211" t="s">
        <v>508</v>
      </c>
      <c r="K28" s="721" t="s">
        <v>509</v>
      </c>
      <c r="L28" s="721"/>
      <c r="M28" s="721"/>
      <c r="Z28" s="198"/>
      <c r="AA28" s="198"/>
      <c r="AB28" s="198"/>
      <c r="AC28" s="198"/>
      <c r="AD28" s="198"/>
      <c r="AE28" s="198"/>
    </row>
    <row r="29" spans="1:31" ht="12.95" customHeight="1">
      <c r="A29" s="667"/>
      <c r="B29" s="81"/>
      <c r="C29" s="3"/>
      <c r="D29" s="95"/>
      <c r="E29" s="157"/>
      <c r="F29" s="157"/>
      <c r="G29" s="157"/>
      <c r="H29" s="133"/>
      <c r="I29" s="173">
        <f>SUM(D29:H29)</f>
        <v>0</v>
      </c>
      <c r="J29" s="461">
        <v>62300</v>
      </c>
      <c r="K29" s="721" t="s">
        <v>510</v>
      </c>
      <c r="L29" s="721"/>
      <c r="M29" s="721"/>
      <c r="Z29" s="198"/>
      <c r="AA29" s="198"/>
      <c r="AB29" s="198"/>
      <c r="AC29" s="198"/>
      <c r="AD29" s="198"/>
      <c r="AE29" s="198"/>
    </row>
    <row r="30" spans="1:31" ht="12.95" customHeight="1">
      <c r="A30" s="668" t="s">
        <v>468</v>
      </c>
      <c r="B30" s="789" t="s">
        <v>511</v>
      </c>
      <c r="C30" s="763"/>
      <c r="D30" s="25">
        <f>D112</f>
        <v>0</v>
      </c>
      <c r="E30" s="25">
        <f>E112</f>
        <v>0</v>
      </c>
      <c r="F30" s="25">
        <f>F112</f>
        <v>0</v>
      </c>
      <c r="G30" s="25">
        <f>G112</f>
        <v>0</v>
      </c>
      <c r="H30" s="25">
        <f>H112</f>
        <v>0</v>
      </c>
      <c r="I30" s="173">
        <f>SUM(D30:H30)</f>
        <v>0</v>
      </c>
      <c r="J30" s="211" t="s">
        <v>512</v>
      </c>
      <c r="K30" s="736" t="s">
        <v>513</v>
      </c>
      <c r="L30" s="737"/>
      <c r="M30" s="737"/>
      <c r="Z30" s="198"/>
      <c r="AA30" s="198"/>
      <c r="AB30" s="198"/>
      <c r="AC30" s="198"/>
      <c r="AD30" s="198"/>
      <c r="AE30" s="198"/>
    </row>
    <row r="31" spans="1:31" ht="12.95" customHeight="1">
      <c r="A31" s="156"/>
      <c r="B31" s="815" t="s">
        <v>514</v>
      </c>
      <c r="C31" s="816"/>
      <c r="D31" s="26">
        <f>SUM(D28:D30)</f>
        <v>0</v>
      </c>
      <c r="E31" s="26">
        <f>SUM(E28:E30)</f>
        <v>0</v>
      </c>
      <c r="F31" s="26">
        <f>SUM(F28:F30)</f>
        <v>0</v>
      </c>
      <c r="G31" s="26">
        <f>SUM(G28:G30)</f>
        <v>0</v>
      </c>
      <c r="H31" s="26">
        <f>SUM(H28:H30)</f>
        <v>0</v>
      </c>
      <c r="I31" s="174">
        <f>SUM(D31:H31)</f>
        <v>0</v>
      </c>
      <c r="J31" s="211" t="s">
        <v>515</v>
      </c>
      <c r="K31" s="736" t="s">
        <v>516</v>
      </c>
      <c r="L31" s="737"/>
      <c r="M31" s="737"/>
      <c r="Z31" s="198"/>
      <c r="AA31" s="198"/>
      <c r="AB31" s="198"/>
      <c r="AC31" s="198"/>
      <c r="AD31" s="198"/>
      <c r="AE31" s="198"/>
    </row>
    <row r="32" spans="1:31" ht="12.95" customHeight="1">
      <c r="A32" s="156"/>
      <c r="B32" s="14" t="s">
        <v>517</v>
      </c>
      <c r="C32" s="28"/>
      <c r="D32" s="28"/>
      <c r="E32" s="28"/>
      <c r="F32" s="28"/>
      <c r="G32" s="28"/>
      <c r="H32" s="28"/>
      <c r="I32" s="172"/>
      <c r="J32" s="213"/>
      <c r="Z32" s="198"/>
      <c r="AA32" s="198"/>
      <c r="AB32" s="198"/>
      <c r="AC32" s="198"/>
      <c r="AD32" s="198"/>
      <c r="AE32" s="198"/>
    </row>
    <row r="33" spans="1:31" ht="12.95" customHeight="1">
      <c r="A33" s="665">
        <v>61400</v>
      </c>
      <c r="B33" s="86"/>
      <c r="C33" s="39" t="s">
        <v>518</v>
      </c>
      <c r="D33" s="64"/>
      <c r="E33" s="7"/>
      <c r="F33" s="7"/>
      <c r="G33" s="7"/>
      <c r="H33" s="161"/>
      <c r="I33" s="77">
        <f>SUM(D33:H33)</f>
        <v>0</v>
      </c>
      <c r="J33" s="214"/>
      <c r="K33" s="215"/>
      <c r="L33" s="146"/>
      <c r="Z33" s="198"/>
      <c r="AA33" s="198"/>
      <c r="AB33" s="198"/>
      <c r="AC33" s="198"/>
      <c r="AD33" s="198"/>
      <c r="AE33" s="198"/>
    </row>
    <row r="34" spans="1:31" ht="12.95" customHeight="1">
      <c r="A34" s="665">
        <v>61500</v>
      </c>
      <c r="B34" s="87"/>
      <c r="C34" s="27" t="s">
        <v>519</v>
      </c>
      <c r="D34" s="65"/>
      <c r="E34" s="8"/>
      <c r="F34" s="8"/>
      <c r="G34" s="8"/>
      <c r="H34" s="163"/>
      <c r="I34" s="78">
        <f>SUM(D34:H34)</f>
        <v>0</v>
      </c>
      <c r="J34" s="214"/>
      <c r="K34" s="215"/>
      <c r="L34" s="146"/>
      <c r="Z34" s="198"/>
      <c r="AA34" s="198"/>
      <c r="AB34" s="198"/>
      <c r="AC34" s="198"/>
      <c r="AD34" s="198"/>
      <c r="AE34" s="198"/>
    </row>
    <row r="35" spans="1:31" ht="12.95" customHeight="1">
      <c r="A35" s="665">
        <v>61600</v>
      </c>
      <c r="B35" s="81"/>
      <c r="C35" s="27" t="s">
        <v>520</v>
      </c>
      <c r="D35" s="95"/>
      <c r="E35" s="157"/>
      <c r="F35" s="157"/>
      <c r="G35" s="157"/>
      <c r="H35" s="133"/>
      <c r="I35" s="78">
        <f>SUM(D35:H35)</f>
        <v>0</v>
      </c>
      <c r="J35" s="214"/>
      <c r="K35" s="215"/>
      <c r="L35" s="146"/>
      <c r="Z35" s="198"/>
      <c r="AA35" s="198"/>
      <c r="AB35" s="198"/>
      <c r="AC35" s="198"/>
      <c r="AD35" s="198"/>
      <c r="AE35" s="198"/>
    </row>
    <row r="36" spans="1:31" ht="12.95" customHeight="1">
      <c r="A36" s="156"/>
      <c r="B36" s="805" t="s">
        <v>521</v>
      </c>
      <c r="C36" s="753"/>
      <c r="D36" s="41">
        <f>SUM(D33:D35)</f>
        <v>0</v>
      </c>
      <c r="E36" s="41">
        <f>SUM(E33:E35)</f>
        <v>0</v>
      </c>
      <c r="F36" s="41">
        <f>SUM(F33:F35)</f>
        <v>0</v>
      </c>
      <c r="G36" s="41">
        <f>SUM(G33:G35)</f>
        <v>0</v>
      </c>
      <c r="H36" s="41">
        <f>SUM(H33:H35)</f>
        <v>0</v>
      </c>
      <c r="I36" s="94">
        <f>SUM(D36:H36)</f>
        <v>0</v>
      </c>
      <c r="J36" s="214"/>
      <c r="K36" s="215"/>
      <c r="L36" s="146"/>
    </row>
    <row r="37" spans="1:31" ht="12.95" customHeight="1">
      <c r="A37" s="669"/>
      <c r="B37" s="14" t="s">
        <v>522</v>
      </c>
      <c r="C37" s="28"/>
      <c r="D37" s="28"/>
      <c r="E37" s="28"/>
      <c r="F37" s="28"/>
      <c r="G37" s="28"/>
      <c r="H37" s="28"/>
      <c r="I37" s="172"/>
      <c r="J37" s="462"/>
      <c r="K37" s="441"/>
      <c r="L37" s="441"/>
      <c r="M37" s="441"/>
      <c r="Z37" s="198"/>
      <c r="AA37" s="198"/>
      <c r="AB37" s="198"/>
      <c r="AC37" s="198"/>
      <c r="AD37" s="198"/>
      <c r="AE37" s="198"/>
    </row>
    <row r="38" spans="1:31" ht="12.95" customHeight="1">
      <c r="A38" s="665">
        <v>60206</v>
      </c>
      <c r="B38" s="86"/>
      <c r="C38" s="39" t="s">
        <v>523</v>
      </c>
      <c r="D38" s="64"/>
      <c r="E38" s="7"/>
      <c r="F38" s="7"/>
      <c r="G38" s="7"/>
      <c r="H38" s="161"/>
      <c r="I38" s="77">
        <f>SUM(D38:H38)</f>
        <v>0</v>
      </c>
      <c r="J38" s="441"/>
      <c r="K38" s="441"/>
      <c r="L38" s="441"/>
      <c r="M38" s="441"/>
      <c r="Z38" s="198"/>
      <c r="AA38" s="198"/>
      <c r="AB38" s="198"/>
      <c r="AC38" s="198"/>
      <c r="AD38" s="198"/>
      <c r="AE38" s="198"/>
    </row>
    <row r="39" spans="1:31" ht="12.95" customHeight="1">
      <c r="A39" s="670">
        <v>60204</v>
      </c>
      <c r="B39" s="87"/>
      <c r="C39" s="470" t="s">
        <v>524</v>
      </c>
      <c r="D39" s="65"/>
      <c r="E39" s="8"/>
      <c r="F39" s="8"/>
      <c r="G39" s="8"/>
      <c r="H39" s="163"/>
      <c r="I39" s="78">
        <f>SUM(D39:H39)</f>
        <v>0</v>
      </c>
      <c r="J39" s="727" t="s">
        <v>525</v>
      </c>
      <c r="K39" s="728"/>
      <c r="L39" s="728"/>
      <c r="M39" s="728"/>
      <c r="Z39" s="198"/>
      <c r="AA39" s="198"/>
      <c r="AB39" s="198"/>
      <c r="AC39" s="198"/>
      <c r="AD39" s="198"/>
      <c r="AE39" s="198"/>
    </row>
    <row r="40" spans="1:31" ht="12.95" customHeight="1">
      <c r="A40" s="665">
        <v>60201</v>
      </c>
      <c r="B40" s="87"/>
      <c r="C40" s="27" t="s">
        <v>526</v>
      </c>
      <c r="D40" s="65"/>
      <c r="E40" s="8"/>
      <c r="F40" s="8"/>
      <c r="G40" s="8"/>
      <c r="H40" s="163"/>
      <c r="I40" s="78">
        <f>SUM(D40:H40)</f>
        <v>0</v>
      </c>
      <c r="J40" s="580"/>
      <c r="Z40" s="198"/>
      <c r="AA40" s="198"/>
      <c r="AB40" s="198"/>
      <c r="AC40" s="198"/>
      <c r="AD40" s="198"/>
      <c r="AE40" s="198"/>
    </row>
    <row r="41" spans="1:31" ht="12.95" customHeight="1">
      <c r="A41" s="670">
        <v>60200</v>
      </c>
      <c r="B41" s="81"/>
      <c r="C41" s="3" t="s">
        <v>13</v>
      </c>
      <c r="D41" s="95"/>
      <c r="E41" s="157"/>
      <c r="F41" s="157"/>
      <c r="G41" s="157"/>
      <c r="H41" s="133"/>
      <c r="I41" s="78">
        <f>SUM(D41:H41)</f>
        <v>0</v>
      </c>
      <c r="J41" s="581"/>
      <c r="K41" s="582"/>
      <c r="L41" s="582"/>
      <c r="M41" s="582"/>
      <c r="Z41" s="198"/>
      <c r="AA41" s="198"/>
      <c r="AB41" s="198"/>
      <c r="AC41" s="198"/>
      <c r="AD41" s="198"/>
      <c r="AE41" s="198"/>
    </row>
    <row r="42" spans="1:31" ht="12.95" customHeight="1">
      <c r="A42" s="156"/>
      <c r="B42" s="805" t="s">
        <v>527</v>
      </c>
      <c r="C42" s="753"/>
      <c r="D42" s="26">
        <f>SUM(D38:D41)</f>
        <v>0</v>
      </c>
      <c r="E42" s="26">
        <f>SUM(E38:E41)</f>
        <v>0</v>
      </c>
      <c r="F42" s="26">
        <f>SUM(F38:F41)</f>
        <v>0</v>
      </c>
      <c r="G42" s="26">
        <f>SUM(G38:G41)</f>
        <v>0</v>
      </c>
      <c r="H42" s="26">
        <f>SUM(H38:H41)</f>
        <v>0</v>
      </c>
      <c r="I42" s="174">
        <f>SUM(D42:H42)</f>
        <v>0</v>
      </c>
      <c r="J42" s="214"/>
      <c r="K42" s="215"/>
      <c r="L42" s="146"/>
      <c r="Z42" s="198"/>
      <c r="AA42" s="198"/>
      <c r="AB42" s="198"/>
      <c r="AC42" s="198"/>
      <c r="AD42" s="198"/>
      <c r="AE42" s="198"/>
    </row>
    <row r="43" spans="1:31" ht="12.95" customHeight="1">
      <c r="A43" s="156"/>
      <c r="B43" s="14" t="s">
        <v>528</v>
      </c>
      <c r="C43" s="28"/>
      <c r="D43" s="28"/>
      <c r="E43" s="28"/>
      <c r="F43" s="28"/>
      <c r="G43" s="28"/>
      <c r="H43" s="28"/>
      <c r="I43" s="172"/>
      <c r="J43" s="213"/>
    </row>
    <row r="44" spans="1:31" ht="12.95" customHeight="1">
      <c r="A44" s="665">
        <v>61000</v>
      </c>
      <c r="B44" s="86"/>
      <c r="C44" s="39" t="s">
        <v>529</v>
      </c>
      <c r="D44" s="64"/>
      <c r="E44" s="7"/>
      <c r="F44" s="7"/>
      <c r="G44" s="7"/>
      <c r="H44" s="161"/>
      <c r="I44" s="77">
        <f t="shared" ref="I44:I54" si="3">SUM(D44:H44)</f>
        <v>0</v>
      </c>
      <c r="J44" s="214"/>
      <c r="K44" s="215"/>
      <c r="L44" s="146"/>
    </row>
    <row r="45" spans="1:31" ht="12.95" customHeight="1">
      <c r="A45" s="665">
        <v>60002</v>
      </c>
      <c r="B45" s="87"/>
      <c r="C45" s="27" t="s">
        <v>530</v>
      </c>
      <c r="D45" s="65"/>
      <c r="E45" s="8"/>
      <c r="F45" s="8"/>
      <c r="G45" s="8"/>
      <c r="H45" s="163"/>
      <c r="I45" s="78">
        <f t="shared" si="3"/>
        <v>0</v>
      </c>
      <c r="J45" s="214"/>
      <c r="K45" s="215"/>
      <c r="L45" s="146"/>
      <c r="Z45" s="198"/>
      <c r="AA45" s="198"/>
      <c r="AB45" s="198"/>
      <c r="AC45" s="198"/>
      <c r="AD45" s="198"/>
      <c r="AE45" s="198"/>
    </row>
    <row r="46" spans="1:31" ht="12.95" customHeight="1">
      <c r="A46" s="665">
        <v>60100</v>
      </c>
      <c r="B46" s="87"/>
      <c r="C46" s="27" t="s">
        <v>531</v>
      </c>
      <c r="D46" s="65"/>
      <c r="E46" s="8"/>
      <c r="F46" s="8"/>
      <c r="G46" s="8"/>
      <c r="H46" s="163"/>
      <c r="I46" s="78">
        <f t="shared" si="3"/>
        <v>0</v>
      </c>
      <c r="J46" s="214"/>
      <c r="K46" s="215"/>
      <c r="L46" s="146"/>
      <c r="Z46" s="198"/>
      <c r="AA46" s="198"/>
      <c r="AB46" s="198"/>
      <c r="AC46" s="198"/>
      <c r="AD46" s="198"/>
      <c r="AE46" s="198"/>
    </row>
    <row r="47" spans="1:31" ht="12.95" customHeight="1">
      <c r="A47" s="665">
        <v>62000</v>
      </c>
      <c r="B47" s="87"/>
      <c r="C47" s="27" t="s">
        <v>532</v>
      </c>
      <c r="D47" s="95"/>
      <c r="E47" s="157"/>
      <c r="F47" s="157"/>
      <c r="G47" s="157"/>
      <c r="H47" s="133"/>
      <c r="I47" s="78">
        <f t="shared" si="3"/>
        <v>0</v>
      </c>
      <c r="J47" s="214"/>
      <c r="K47" s="215"/>
      <c r="L47" s="146"/>
      <c r="Z47" s="198"/>
      <c r="AA47" s="198"/>
      <c r="AB47" s="198"/>
      <c r="AC47" s="198"/>
      <c r="AD47" s="198"/>
      <c r="AE47" s="198"/>
    </row>
    <row r="48" spans="1:31" ht="12.95" customHeight="1">
      <c r="A48" s="665"/>
      <c r="B48" s="87"/>
      <c r="C48" s="27" t="s">
        <v>533</v>
      </c>
      <c r="D48" s="671">
        <f>D187</f>
        <v>0</v>
      </c>
      <c r="E48" s="672">
        <f>E187</f>
        <v>0</v>
      </c>
      <c r="F48" s="672">
        <f>F187</f>
        <v>0</v>
      </c>
      <c r="G48" s="672">
        <f>G187</f>
        <v>0</v>
      </c>
      <c r="H48" s="672">
        <f>H187</f>
        <v>0</v>
      </c>
      <c r="I48" s="464">
        <f t="shared" si="3"/>
        <v>0</v>
      </c>
      <c r="J48" s="214"/>
      <c r="K48" s="216"/>
      <c r="L48" s="146"/>
      <c r="Z48" s="198"/>
      <c r="AA48" s="198"/>
      <c r="AB48" s="198"/>
      <c r="AC48" s="198"/>
      <c r="AD48" s="198"/>
      <c r="AE48" s="198"/>
    </row>
    <row r="49" spans="1:31" ht="12.95" customHeight="1">
      <c r="A49" s="665">
        <v>55300</v>
      </c>
      <c r="B49" s="87"/>
      <c r="C49" s="27" t="s">
        <v>534</v>
      </c>
      <c r="D49" s="64"/>
      <c r="E49" s="7"/>
      <c r="F49" s="7"/>
      <c r="G49" s="7"/>
      <c r="H49" s="161"/>
      <c r="I49" s="78">
        <f t="shared" si="3"/>
        <v>0</v>
      </c>
      <c r="J49" s="217" t="s">
        <v>535</v>
      </c>
      <c r="K49" s="218"/>
      <c r="L49" s="217"/>
      <c r="M49" s="219"/>
      <c r="N49" s="445"/>
      <c r="Z49" s="198"/>
      <c r="AA49" s="198"/>
      <c r="AB49" s="198"/>
      <c r="AC49" s="198"/>
      <c r="AD49" s="198"/>
      <c r="AE49" s="198"/>
    </row>
    <row r="50" spans="1:31" ht="12.95" customHeight="1">
      <c r="A50" s="665">
        <v>54113</v>
      </c>
      <c r="B50" s="87"/>
      <c r="C50" s="138" t="s">
        <v>536</v>
      </c>
      <c r="D50" s="95"/>
      <c r="E50" s="157"/>
      <c r="F50" s="157"/>
      <c r="G50" s="157"/>
      <c r="H50" s="133"/>
      <c r="I50" s="78">
        <f t="shared" si="3"/>
        <v>0</v>
      </c>
      <c r="J50" s="217" t="s">
        <v>537</v>
      </c>
      <c r="K50" s="218"/>
      <c r="L50" s="217"/>
      <c r="M50" s="219"/>
      <c r="N50" s="445"/>
      <c r="Z50" s="198"/>
      <c r="AA50" s="198"/>
      <c r="AB50" s="198"/>
      <c r="AC50" s="198"/>
      <c r="AD50" s="198"/>
      <c r="AE50" s="198"/>
    </row>
    <row r="51" spans="1:31" ht="12.95" customHeight="1">
      <c r="A51" s="668" t="s">
        <v>468</v>
      </c>
      <c r="B51" s="220"/>
      <c r="C51" s="27" t="s">
        <v>538</v>
      </c>
      <c r="D51" s="32">
        <f>D124</f>
        <v>0</v>
      </c>
      <c r="E51" s="32">
        <f>E124</f>
        <v>0</v>
      </c>
      <c r="F51" s="32">
        <f>F124</f>
        <v>0</v>
      </c>
      <c r="G51" s="32">
        <f>G124</f>
        <v>0</v>
      </c>
      <c r="H51" s="32">
        <f>H124</f>
        <v>0</v>
      </c>
      <c r="I51" s="78">
        <f t="shared" si="3"/>
        <v>0</v>
      </c>
      <c r="J51" s="217" t="s">
        <v>539</v>
      </c>
      <c r="K51" s="218"/>
      <c r="L51" s="217"/>
      <c r="M51" s="219"/>
      <c r="N51" s="445"/>
      <c r="Z51" s="198"/>
      <c r="AA51" s="198"/>
      <c r="AB51" s="198"/>
      <c r="AC51" s="198"/>
      <c r="AD51" s="198"/>
      <c r="AE51" s="198"/>
    </row>
    <row r="52" spans="1:31" ht="12.95" customHeight="1" thickBot="1">
      <c r="A52" s="156"/>
      <c r="B52" s="810" t="s">
        <v>540</v>
      </c>
      <c r="C52" s="811"/>
      <c r="D52" s="44">
        <f>SUM(D44:D51)</f>
        <v>0</v>
      </c>
      <c r="E52" s="44">
        <f>SUM(E44:E51)</f>
        <v>0</v>
      </c>
      <c r="F52" s="44">
        <f>SUM(F44:F51)</f>
        <v>0</v>
      </c>
      <c r="G52" s="44">
        <f>SUM(G44:G51)</f>
        <v>0</v>
      </c>
      <c r="H52" s="44">
        <f>SUM(H44:H51)</f>
        <v>0</v>
      </c>
      <c r="I52" s="465">
        <f t="shared" si="3"/>
        <v>0</v>
      </c>
      <c r="J52" s="217" t="s">
        <v>541</v>
      </c>
      <c r="K52" s="218"/>
      <c r="L52" s="217"/>
      <c r="M52" s="219"/>
      <c r="N52" s="445"/>
      <c r="Z52" s="198"/>
      <c r="AA52" s="198"/>
      <c r="AB52" s="198"/>
      <c r="AC52" s="198"/>
      <c r="AD52" s="198"/>
      <c r="AE52" s="198"/>
    </row>
    <row r="53" spans="1:31" ht="12.95" customHeight="1" thickTop="1">
      <c r="A53" s="156"/>
      <c r="B53" s="806" t="s">
        <v>542</v>
      </c>
      <c r="C53" s="807"/>
      <c r="D53" s="45">
        <f>D52+D42+D31+D26+D36</f>
        <v>0</v>
      </c>
      <c r="E53" s="45">
        <f>E52+E42+E31+E26+E36</f>
        <v>0</v>
      </c>
      <c r="F53" s="45">
        <f>F52+F42+F31+F26+F36</f>
        <v>0</v>
      </c>
      <c r="G53" s="45">
        <f>G52+G42+G31+G26+G36</f>
        <v>0</v>
      </c>
      <c r="H53" s="45">
        <f>H52+H42+H31+H26+H36</f>
        <v>0</v>
      </c>
      <c r="I53" s="466">
        <f t="shared" si="3"/>
        <v>0</v>
      </c>
      <c r="J53" s="214"/>
      <c r="K53" s="215"/>
      <c r="L53" s="146"/>
      <c r="Z53" s="198"/>
      <c r="AA53" s="198"/>
      <c r="AB53" s="198"/>
      <c r="AC53" s="198"/>
      <c r="AD53" s="198"/>
      <c r="AE53" s="198"/>
    </row>
    <row r="54" spans="1:31" ht="13.5" customHeight="1">
      <c r="A54" s="156">
        <v>65701</v>
      </c>
      <c r="B54" s="808" t="s">
        <v>543</v>
      </c>
      <c r="C54" s="809"/>
      <c r="D54" s="25">
        <f>ROUND(D87*D70,0)</f>
        <v>0</v>
      </c>
      <c r="E54" s="25">
        <f>ROUND(E87*E70,0)</f>
        <v>0</v>
      </c>
      <c r="F54" s="32">
        <f>ROUND(F87*F70,0)</f>
        <v>0</v>
      </c>
      <c r="G54" s="32">
        <f>ROUND(G87*G70,0)</f>
        <v>0</v>
      </c>
      <c r="H54" s="32">
        <f>ROUND(H87*H70,0)</f>
        <v>0</v>
      </c>
      <c r="I54" s="78">
        <f t="shared" si="3"/>
        <v>0</v>
      </c>
      <c r="J54" s="214"/>
      <c r="K54" s="215"/>
      <c r="L54" s="146"/>
      <c r="Z54" s="198"/>
      <c r="AA54" s="198"/>
      <c r="AB54" s="198"/>
      <c r="AC54" s="198"/>
      <c r="AD54" s="198"/>
      <c r="AE54" s="198"/>
    </row>
    <row r="55" spans="1:31" ht="12.95" customHeight="1" thickBot="1">
      <c r="A55" s="156"/>
      <c r="B55" s="812" t="s">
        <v>544</v>
      </c>
      <c r="C55" s="813"/>
      <c r="D55" s="508">
        <f>D53+D54</f>
        <v>0</v>
      </c>
      <c r="E55" s="508">
        <f>E53+E54</f>
        <v>0</v>
      </c>
      <c r="F55" s="508">
        <f>F53+F54</f>
        <v>0</v>
      </c>
      <c r="G55" s="508">
        <f>G53+G54</f>
        <v>0</v>
      </c>
      <c r="H55" s="508">
        <f>H53+H54</f>
        <v>0</v>
      </c>
      <c r="I55" s="509">
        <f>SUM(D55:H55)</f>
        <v>0</v>
      </c>
      <c r="J55" s="214"/>
      <c r="K55" s="215"/>
      <c r="L55" s="146"/>
    </row>
    <row r="56" spans="1:31" ht="12.95" customHeight="1">
      <c r="B56" s="814"/>
      <c r="C56" s="454" t="s">
        <v>545</v>
      </c>
      <c r="D56" s="467">
        <f>ROUND(D63-D54,0)</f>
        <v>0</v>
      </c>
      <c r="E56" s="467">
        <f>ROUND(E63-E54,0)</f>
        <v>0</v>
      </c>
      <c r="F56" s="467">
        <f>ROUND(F63-F54,0)</f>
        <v>0</v>
      </c>
      <c r="G56" s="467">
        <f>ROUND(G63-G54,0)</f>
        <v>0</v>
      </c>
      <c r="H56" s="467">
        <f>ROUND(H63-H54,0)</f>
        <v>0</v>
      </c>
      <c r="I56" s="468">
        <f>ROUND(SUM(D56:H56),0)</f>
        <v>0</v>
      </c>
      <c r="J56" s="214"/>
      <c r="K56" s="215"/>
      <c r="L56" s="146"/>
    </row>
    <row r="57" spans="1:31" ht="12.95" customHeight="1">
      <c r="A57" s="199">
        <v>65712</v>
      </c>
      <c r="B57" s="1033"/>
      <c r="C57" s="356" t="s">
        <v>546</v>
      </c>
      <c r="D57" s="352">
        <f>D56</f>
        <v>0</v>
      </c>
      <c r="E57" s="352">
        <f>E56</f>
        <v>0</v>
      </c>
      <c r="F57" s="352">
        <f t="shared" ref="F57:H57" si="4">F56</f>
        <v>0</v>
      </c>
      <c r="G57" s="352">
        <f t="shared" si="4"/>
        <v>0</v>
      </c>
      <c r="H57" s="352">
        <f t="shared" si="4"/>
        <v>0</v>
      </c>
      <c r="I57" s="357">
        <f t="shared" ref="I57:I64" si="5">SUM(D57:H57)</f>
        <v>0</v>
      </c>
      <c r="J57" s="755" t="s">
        <v>547</v>
      </c>
      <c r="K57" s="756"/>
      <c r="L57" s="756"/>
      <c r="M57" s="756"/>
    </row>
    <row r="58" spans="1:31" ht="12.95" customHeight="1">
      <c r="A58" s="665">
        <v>65713</v>
      </c>
      <c r="B58" s="1033"/>
      <c r="C58" s="356" t="s">
        <v>548</v>
      </c>
      <c r="D58" s="352"/>
      <c r="E58" s="352"/>
      <c r="F58" s="352"/>
      <c r="G58" s="352"/>
      <c r="H58" s="352"/>
      <c r="I58" s="357">
        <f t="shared" si="5"/>
        <v>0</v>
      </c>
      <c r="J58" s="756"/>
      <c r="K58" s="756"/>
      <c r="L58" s="756"/>
      <c r="M58" s="756"/>
    </row>
    <row r="59" spans="1:31" ht="12.95" customHeight="1">
      <c r="A59" s="665">
        <v>65714</v>
      </c>
      <c r="B59" s="1033"/>
      <c r="C59" s="356" t="s">
        <v>549</v>
      </c>
      <c r="D59" s="142"/>
      <c r="E59" s="142"/>
      <c r="F59" s="142"/>
      <c r="G59" s="142"/>
      <c r="H59" s="142"/>
      <c r="I59" s="358">
        <f t="shared" si="5"/>
        <v>0</v>
      </c>
      <c r="J59" s="756"/>
      <c r="K59" s="756"/>
      <c r="L59" s="756"/>
      <c r="M59" s="756"/>
    </row>
    <row r="60" spans="1:31" ht="15.75" customHeight="1">
      <c r="A60" s="665">
        <v>65715</v>
      </c>
      <c r="B60" s="1033"/>
      <c r="C60" s="356" t="s">
        <v>550</v>
      </c>
      <c r="D60" s="142"/>
      <c r="E60" s="142"/>
      <c r="F60" s="142"/>
      <c r="G60" s="142"/>
      <c r="H60" s="142"/>
      <c r="I60" s="358">
        <f t="shared" si="5"/>
        <v>0</v>
      </c>
      <c r="J60" s="756"/>
      <c r="K60" s="756"/>
      <c r="L60" s="756"/>
      <c r="M60" s="756"/>
    </row>
    <row r="61" spans="1:31" ht="16.5" customHeight="1">
      <c r="A61" s="665"/>
      <c r="B61" s="1033"/>
      <c r="C61" s="359" t="s">
        <v>551</v>
      </c>
      <c r="D61" s="355">
        <f>SUM(D57:D60)</f>
        <v>0</v>
      </c>
      <c r="E61" s="355">
        <f>SUM(E57:E60)</f>
        <v>0</v>
      </c>
      <c r="F61" s="355">
        <f>SUM(F57:F60)</f>
        <v>0</v>
      </c>
      <c r="G61" s="355">
        <f>SUM(G57:G60)</f>
        <v>0</v>
      </c>
      <c r="H61" s="355">
        <f>SUM(H57:H60)</f>
        <v>0</v>
      </c>
      <c r="I61" s="360">
        <f>ROUND(SUM(D61:H61),0)</f>
        <v>0</v>
      </c>
      <c r="J61" s="1034" t="str">
        <f>IF(I61=I56,"","FACS DISCREPANT")</f>
        <v/>
      </c>
      <c r="K61" s="1035"/>
      <c r="L61" s="1035"/>
      <c r="N61" s="146"/>
    </row>
    <row r="62" spans="1:31" ht="12.95" customHeight="1" thickBot="1">
      <c r="A62" s="156">
        <v>65719</v>
      </c>
      <c r="B62" s="1036"/>
      <c r="C62" s="361" t="s">
        <v>552</v>
      </c>
      <c r="D62" s="362">
        <f>-D61</f>
        <v>0</v>
      </c>
      <c r="E62" s="362">
        <f>-E61</f>
        <v>0</v>
      </c>
      <c r="F62" s="362">
        <f>-F61</f>
        <v>0</v>
      </c>
      <c r="G62" s="362">
        <f>-G61</f>
        <v>0</v>
      </c>
      <c r="H62" s="362">
        <f>-H61</f>
        <v>0</v>
      </c>
      <c r="I62" s="363">
        <f t="shared" si="5"/>
        <v>0</v>
      </c>
      <c r="J62" s="214"/>
      <c r="K62" s="215"/>
      <c r="L62" s="146"/>
      <c r="N62" s="146"/>
    </row>
    <row r="63" spans="1:31" ht="12.95" customHeight="1">
      <c r="B63" s="759" t="s">
        <v>553</v>
      </c>
      <c r="C63" s="760"/>
      <c r="D63" s="26">
        <f>D87*D69</f>
        <v>0</v>
      </c>
      <c r="E63" s="26">
        <f>E87*E69</f>
        <v>0</v>
      </c>
      <c r="F63" s="26">
        <f>F87*F69</f>
        <v>0</v>
      </c>
      <c r="G63" s="26">
        <f>G87*G69</f>
        <v>0</v>
      </c>
      <c r="H63" s="26">
        <f>H87*H69</f>
        <v>0</v>
      </c>
      <c r="I63" s="174">
        <f t="shared" si="5"/>
        <v>0</v>
      </c>
      <c r="J63" s="532"/>
      <c r="K63" s="533"/>
      <c r="L63" s="533"/>
      <c r="M63" s="534"/>
      <c r="N63" s="146"/>
    </row>
    <row r="64" spans="1:31">
      <c r="B64" s="759" t="s">
        <v>554</v>
      </c>
      <c r="C64" s="773"/>
      <c r="D64" s="671">
        <f>D53+D87*D69</f>
        <v>0</v>
      </c>
      <c r="E64" s="671">
        <f>E53+E87*E69</f>
        <v>0</v>
      </c>
      <c r="F64" s="671">
        <f>F53+F87*F69</f>
        <v>0</v>
      </c>
      <c r="G64" s="671">
        <f>G53+G87*G69</f>
        <v>0</v>
      </c>
      <c r="H64" s="671">
        <f>H53+H87*H69</f>
        <v>0</v>
      </c>
      <c r="I64" s="180">
        <f t="shared" si="5"/>
        <v>0</v>
      </c>
      <c r="J64" s="535"/>
      <c r="K64" s="534"/>
      <c r="L64" s="534"/>
      <c r="M64" s="534"/>
    </row>
    <row r="65" spans="1:21" ht="12.95" customHeight="1">
      <c r="A65" s="156"/>
      <c r="B65" s="776" t="s">
        <v>555</v>
      </c>
      <c r="C65" s="777"/>
      <c r="D65" s="673">
        <f>D55-D42</f>
        <v>0</v>
      </c>
      <c r="E65" s="673">
        <f t="shared" ref="E65:I65" si="6">E55-E42</f>
        <v>0</v>
      </c>
      <c r="F65" s="673">
        <f t="shared" si="6"/>
        <v>0</v>
      </c>
      <c r="G65" s="673">
        <f t="shared" si="6"/>
        <v>0</v>
      </c>
      <c r="H65" s="673">
        <f t="shared" si="6"/>
        <v>0</v>
      </c>
      <c r="I65" s="673">
        <f t="shared" si="6"/>
        <v>0</v>
      </c>
      <c r="J65" s="535"/>
      <c r="K65" s="534"/>
      <c r="L65" s="534"/>
      <c r="M65" s="534"/>
      <c r="T65" s="532"/>
    </row>
    <row r="66" spans="1:21" ht="12.95" customHeight="1">
      <c r="A66" s="156"/>
      <c r="B66" s="222" t="s">
        <v>556</v>
      </c>
      <c r="C66" s="28"/>
      <c r="D66" s="28" t="s">
        <v>557</v>
      </c>
      <c r="E66" s="189"/>
      <c r="F66" s="28"/>
      <c r="G66" s="28"/>
      <c r="H66" s="28"/>
      <c r="I66" s="172"/>
      <c r="J66" s="535"/>
      <c r="K66" s="534"/>
      <c r="L66" s="534"/>
      <c r="M66" s="536"/>
      <c r="N66" s="221"/>
      <c r="O66" s="223"/>
      <c r="T66" s="539"/>
    </row>
    <row r="67" spans="1:21" ht="12.95" customHeight="1">
      <c r="A67" s="156"/>
      <c r="B67" s="771" t="s">
        <v>558</v>
      </c>
      <c r="C67" s="772"/>
      <c r="D67" s="16">
        <v>0.437</v>
      </c>
      <c r="E67" s="16">
        <v>0.437</v>
      </c>
      <c r="F67" s="16">
        <v>0.437</v>
      </c>
      <c r="G67" s="16">
        <v>0.437</v>
      </c>
      <c r="H67" s="16">
        <v>0.437</v>
      </c>
      <c r="I67" s="455"/>
      <c r="J67" s="610"/>
      <c r="K67" s="611"/>
      <c r="L67" s="611"/>
      <c r="M67" s="611"/>
      <c r="T67" s="532"/>
    </row>
    <row r="68" spans="1:21" ht="12.95" customHeight="1">
      <c r="A68" s="156"/>
      <c r="B68" s="818" t="s">
        <v>559</v>
      </c>
      <c r="C68" s="763"/>
      <c r="D68" s="17">
        <v>7.6999999999999999E-2</v>
      </c>
      <c r="E68" s="17">
        <v>7.6999999999999999E-2</v>
      </c>
      <c r="F68" s="17">
        <v>7.6999999999999999E-2</v>
      </c>
      <c r="G68" s="17">
        <v>7.6999999999999999E-2</v>
      </c>
      <c r="H68" s="17">
        <v>7.6999999999999999E-2</v>
      </c>
      <c r="I68" s="456"/>
      <c r="J68" s="537"/>
      <c r="K68" s="537"/>
      <c r="L68" s="534"/>
      <c r="M68" s="538"/>
      <c r="T68" s="539"/>
    </row>
    <row r="69" spans="1:21" ht="12.95" customHeight="1">
      <c r="A69" s="156"/>
      <c r="B69" s="762" t="s">
        <v>560</v>
      </c>
      <c r="C69" s="763"/>
      <c r="D69" s="17">
        <v>0.47699999999999998</v>
      </c>
      <c r="E69" s="609">
        <v>0.47699999999999998</v>
      </c>
      <c r="F69" s="17">
        <v>0.47699999999999998</v>
      </c>
      <c r="G69" s="17">
        <f t="shared" ref="F69:H70" si="7">F69</f>
        <v>0.47699999999999998</v>
      </c>
      <c r="H69" s="17">
        <f t="shared" si="7"/>
        <v>0.47699999999999998</v>
      </c>
      <c r="I69" s="457"/>
      <c r="J69" s="537"/>
      <c r="K69" s="537"/>
      <c r="L69" s="534"/>
      <c r="M69" s="538"/>
    </row>
    <row r="70" spans="1:21" ht="12.95" customHeight="1">
      <c r="A70" s="199"/>
      <c r="B70" s="774" t="s">
        <v>561</v>
      </c>
      <c r="C70" s="775"/>
      <c r="D70" s="17">
        <v>0.47699999999999998</v>
      </c>
      <c r="E70" s="618">
        <v>0.47699999999999998</v>
      </c>
      <c r="F70" s="68">
        <f t="shared" si="7"/>
        <v>0.47699999999999998</v>
      </c>
      <c r="G70" s="68">
        <f t="shared" si="7"/>
        <v>0.47699999999999998</v>
      </c>
      <c r="H70" s="17">
        <f t="shared" si="7"/>
        <v>0.47699999999999998</v>
      </c>
      <c r="I70" s="458"/>
      <c r="J70" s="537"/>
      <c r="K70" s="537"/>
      <c r="L70" s="534"/>
      <c r="M70" s="538"/>
      <c r="N70" s="223"/>
      <c r="O70" s="223"/>
    </row>
    <row r="71" spans="1:21" ht="12.95" customHeight="1">
      <c r="A71" s="823" t="s">
        <v>562</v>
      </c>
      <c r="B71" s="824"/>
      <c r="C71" s="825"/>
      <c r="D71" s="821" t="str">
        <f>D5</f>
        <v>Year 1</v>
      </c>
      <c r="E71" s="819" t="str">
        <f t="shared" ref="E71:I71" si="8">E5</f>
        <v>Year 2</v>
      </c>
      <c r="F71" s="819" t="str">
        <f t="shared" si="8"/>
        <v>Year 3</v>
      </c>
      <c r="G71" s="819" t="str">
        <f t="shared" si="8"/>
        <v>Year 4</v>
      </c>
      <c r="H71" s="819" t="str">
        <f t="shared" si="8"/>
        <v>Year 5</v>
      </c>
      <c r="I71" s="765" t="str">
        <f t="shared" si="8"/>
        <v>Total</v>
      </c>
      <c r="J71" s="604"/>
      <c r="K71" s="63"/>
      <c r="L71" s="63"/>
      <c r="M71" s="534"/>
      <c r="Q71" s="146">
        <f t="shared" ref="Q71:U74" si="9">IF(LEN($A8)=5,D8,0)</f>
        <v>0</v>
      </c>
      <c r="R71" s="146">
        <f t="shared" si="9"/>
        <v>0</v>
      </c>
      <c r="S71" s="146">
        <f t="shared" si="9"/>
        <v>0</v>
      </c>
      <c r="T71" s="146">
        <f t="shared" si="9"/>
        <v>0</v>
      </c>
      <c r="U71" s="146">
        <f t="shared" si="9"/>
        <v>0</v>
      </c>
    </row>
    <row r="72" spans="1:21" ht="12.95" customHeight="1" thickBot="1">
      <c r="A72" s="815"/>
      <c r="B72" s="826"/>
      <c r="C72" s="816"/>
      <c r="D72" s="822"/>
      <c r="E72" s="830"/>
      <c r="F72" s="820"/>
      <c r="G72" s="820"/>
      <c r="H72" s="820"/>
      <c r="I72" s="766"/>
      <c r="K72" s="443"/>
      <c r="L72" s="443"/>
      <c r="M72" s="540"/>
      <c r="Q72" s="146">
        <f t="shared" si="9"/>
        <v>0</v>
      </c>
      <c r="R72" s="146">
        <f t="shared" si="9"/>
        <v>0</v>
      </c>
      <c r="S72" s="146">
        <f t="shared" si="9"/>
        <v>0</v>
      </c>
      <c r="T72" s="146">
        <f t="shared" si="9"/>
        <v>0</v>
      </c>
      <c r="U72" s="146">
        <f t="shared" si="9"/>
        <v>0</v>
      </c>
    </row>
    <row r="73" spans="1:21" ht="12.95" customHeight="1">
      <c r="A73" s="155"/>
      <c r="B73" s="153" t="s">
        <v>563</v>
      </c>
      <c r="C73" s="6"/>
      <c r="D73" s="227"/>
      <c r="E73" s="227"/>
      <c r="F73" s="227"/>
      <c r="G73" s="227"/>
      <c r="H73" s="227"/>
      <c r="I73" s="228"/>
      <c r="J73" s="540"/>
      <c r="K73" s="603"/>
      <c r="L73" s="604"/>
      <c r="M73" s="604"/>
      <c r="Q73" s="146">
        <f t="shared" si="9"/>
        <v>0</v>
      </c>
      <c r="R73" s="146">
        <f t="shared" si="9"/>
        <v>0</v>
      </c>
      <c r="S73" s="146">
        <f t="shared" si="9"/>
        <v>0</v>
      </c>
      <c r="T73" s="146">
        <f t="shared" si="9"/>
        <v>0</v>
      </c>
      <c r="U73" s="146">
        <f t="shared" si="9"/>
        <v>0</v>
      </c>
    </row>
    <row r="74" spans="1:21" ht="12.95" customHeight="1">
      <c r="A74" s="156"/>
      <c r="B74" s="831" t="s">
        <v>564</v>
      </c>
      <c r="C74" s="1037"/>
      <c r="D74" s="30">
        <f>D13+D15+D16+D19+D20+D21+D22</f>
        <v>0</v>
      </c>
      <c r="E74" s="30">
        <f>E13+E15+E16+E19+E20+E21+E22</f>
        <v>0</v>
      </c>
      <c r="F74" s="30">
        <f>F13+F15+F16+F19+F20+F21+F22</f>
        <v>0</v>
      </c>
      <c r="G74" s="30">
        <f>G13+G15+G16+G19+G20+G21+G22</f>
        <v>0</v>
      </c>
      <c r="H74" s="30">
        <f>H13+H15+H16+H19+H20+H21+H22</f>
        <v>0</v>
      </c>
      <c r="I74" s="77">
        <f>SUM(D74:H74)</f>
        <v>0</v>
      </c>
      <c r="J74" s="540"/>
      <c r="K74" s="605"/>
      <c r="L74" s="604"/>
      <c r="M74" s="534"/>
      <c r="Q74" s="146">
        <f t="shared" si="9"/>
        <v>0</v>
      </c>
      <c r="R74" s="146">
        <f t="shared" si="9"/>
        <v>0</v>
      </c>
      <c r="S74" s="146">
        <f t="shared" si="9"/>
        <v>0</v>
      </c>
      <c r="T74" s="146">
        <f t="shared" si="9"/>
        <v>0</v>
      </c>
      <c r="U74" s="146">
        <f t="shared" si="9"/>
        <v>0</v>
      </c>
    </row>
    <row r="75" spans="1:21" ht="12.95" customHeight="1">
      <c r="A75" s="156"/>
      <c r="B75" s="764" t="s">
        <v>565</v>
      </c>
      <c r="C75" s="1038"/>
      <c r="D75" s="32">
        <f>SUM(Q71:Q91)+D20+D21</f>
        <v>0</v>
      </c>
      <c r="E75" s="32">
        <f>SUM(R71:R91)+E20+E21</f>
        <v>0</v>
      </c>
      <c r="F75" s="32">
        <f>SUM(S71:S91)+F20+F21</f>
        <v>0</v>
      </c>
      <c r="G75" s="32">
        <f>SUM(T71:T91)+G20+G21</f>
        <v>0</v>
      </c>
      <c r="H75" s="32">
        <f>SUM(U71:U91)+H20+H21</f>
        <v>0</v>
      </c>
      <c r="I75" s="78">
        <f>SUM(D75:H75)</f>
        <v>0</v>
      </c>
      <c r="J75" s="535"/>
      <c r="K75" s="534"/>
      <c r="L75" s="534"/>
      <c r="M75" s="534"/>
      <c r="Q75" s="146">
        <f t="shared" ref="Q75:Q90" si="10">IF(LEN($A89)=5,D89,0)</f>
        <v>0</v>
      </c>
      <c r="R75" s="146">
        <f t="shared" ref="R75:R90" si="11">IF(LEN($A89)=5,E89,0)</f>
        <v>0</v>
      </c>
      <c r="S75" s="146">
        <f t="shared" ref="S75:S90" si="12">IF(LEN($A89)=5,F89,0)</f>
        <v>0</v>
      </c>
      <c r="T75" s="146">
        <f t="shared" ref="T75:T90" si="13">IF(LEN($A89)=5,G89,0)</f>
        <v>0</v>
      </c>
      <c r="U75" s="146">
        <f t="shared" ref="U75:U90" si="14">IF(LEN($A89)=5,H89,0)</f>
        <v>0</v>
      </c>
    </row>
    <row r="76" spans="1:21" ht="12.95" customHeight="1">
      <c r="A76" s="156"/>
      <c r="B76" s="761" t="s">
        <v>566</v>
      </c>
      <c r="C76" s="1038"/>
      <c r="D76" s="32">
        <f>ROUND((D74-D75)*D67,0)</f>
        <v>0</v>
      </c>
      <c r="E76" s="32">
        <f>ROUND((E74-E75)*E67,0)</f>
        <v>0</v>
      </c>
      <c r="F76" s="32">
        <f>ROUND((F74-F75)*F67,0)</f>
        <v>0</v>
      </c>
      <c r="G76" s="32">
        <f>ROUND((G74-G75)*G67,0)</f>
        <v>0</v>
      </c>
      <c r="H76" s="32">
        <f>ROUND((H74-H75)*H67,0)</f>
        <v>0</v>
      </c>
      <c r="I76" s="78">
        <f>SUM(D76:H76)</f>
        <v>0</v>
      </c>
      <c r="J76" s="535"/>
      <c r="K76" s="534"/>
      <c r="L76" s="542"/>
      <c r="M76" s="534"/>
      <c r="Q76" s="146">
        <f t="shared" si="10"/>
        <v>0</v>
      </c>
      <c r="R76" s="146">
        <f t="shared" si="11"/>
        <v>0</v>
      </c>
      <c r="S76" s="146">
        <f t="shared" si="12"/>
        <v>0</v>
      </c>
      <c r="T76" s="146">
        <f t="shared" si="13"/>
        <v>0</v>
      </c>
      <c r="U76" s="146">
        <f t="shared" si="14"/>
        <v>0</v>
      </c>
    </row>
    <row r="77" spans="1:21" ht="12.95" customHeight="1">
      <c r="A77" s="156"/>
      <c r="B77" s="761" t="s">
        <v>567</v>
      </c>
      <c r="C77" s="1038"/>
      <c r="D77" s="26">
        <f>ROUND(D75*D68,0)</f>
        <v>0</v>
      </c>
      <c r="E77" s="26">
        <f>ROUND(E75*E68,0)</f>
        <v>0</v>
      </c>
      <c r="F77" s="26">
        <f>ROUND(F75*F68,0)</f>
        <v>0</v>
      </c>
      <c r="G77" s="26">
        <f>ROUND(G75*G68,0)</f>
        <v>0</v>
      </c>
      <c r="H77" s="26">
        <f>ROUND(H75*H68,0)</f>
        <v>0</v>
      </c>
      <c r="I77" s="174">
        <f>SUM(D77:H77)</f>
        <v>0</v>
      </c>
      <c r="J77" s="535"/>
      <c r="K77" s="534"/>
      <c r="L77" s="542"/>
      <c r="M77" s="534"/>
      <c r="Q77" s="146">
        <f t="shared" si="10"/>
        <v>0</v>
      </c>
      <c r="R77" s="146">
        <f t="shared" si="11"/>
        <v>0</v>
      </c>
      <c r="S77" s="146">
        <f t="shared" si="12"/>
        <v>0</v>
      </c>
      <c r="T77" s="146">
        <f t="shared" si="13"/>
        <v>0</v>
      </c>
      <c r="U77" s="146">
        <f t="shared" si="14"/>
        <v>0</v>
      </c>
    </row>
    <row r="78" spans="1:21" ht="12.95" customHeight="1" thickBot="1">
      <c r="A78" s="156"/>
      <c r="B78" s="768" t="s">
        <v>568</v>
      </c>
      <c r="C78" s="1039"/>
      <c r="D78" s="71">
        <f>D76+D77</f>
        <v>0</v>
      </c>
      <c r="E78" s="71">
        <f>E76+E77</f>
        <v>0</v>
      </c>
      <c r="F78" s="71">
        <f>F76+F77</f>
        <v>0</v>
      </c>
      <c r="G78" s="71">
        <f>G76+G77</f>
        <v>0</v>
      </c>
      <c r="H78" s="71">
        <f>H76+H77</f>
        <v>0</v>
      </c>
      <c r="I78" s="79">
        <f>SUM(D78:H78)</f>
        <v>0</v>
      </c>
      <c r="J78" s="535"/>
      <c r="K78" s="534"/>
      <c r="L78" s="542"/>
      <c r="M78" s="534"/>
      <c r="Q78" s="146">
        <f t="shared" si="10"/>
        <v>0</v>
      </c>
      <c r="R78" s="146">
        <f t="shared" si="11"/>
        <v>0</v>
      </c>
      <c r="S78" s="146">
        <f t="shared" si="12"/>
        <v>0</v>
      </c>
      <c r="T78" s="146">
        <f t="shared" si="13"/>
        <v>0</v>
      </c>
      <c r="U78" s="146">
        <f t="shared" si="14"/>
        <v>0</v>
      </c>
    </row>
    <row r="79" spans="1:21" ht="12.95" customHeight="1">
      <c r="A79" s="156"/>
      <c r="B79" s="84" t="s">
        <v>569</v>
      </c>
      <c r="C79" s="230"/>
      <c r="D79" s="230"/>
      <c r="E79" s="230"/>
      <c r="F79" s="230"/>
      <c r="G79" s="230"/>
      <c r="H79" s="230"/>
      <c r="I79" s="231"/>
      <c r="J79" s="535"/>
      <c r="K79" s="543"/>
      <c r="L79" s="534"/>
      <c r="M79" s="534"/>
      <c r="Q79" s="146">
        <f t="shared" si="10"/>
        <v>0</v>
      </c>
      <c r="R79" s="146">
        <f t="shared" si="11"/>
        <v>0</v>
      </c>
      <c r="S79" s="146">
        <f t="shared" si="12"/>
        <v>0</v>
      </c>
      <c r="T79" s="146">
        <f t="shared" si="13"/>
        <v>0</v>
      </c>
      <c r="U79" s="146">
        <f t="shared" si="14"/>
        <v>0</v>
      </c>
    </row>
    <row r="80" spans="1:21" ht="12.95" customHeight="1">
      <c r="A80" s="156"/>
      <c r="B80" s="832"/>
      <c r="C80" s="772"/>
      <c r="D80" s="674"/>
      <c r="E80" s="674"/>
      <c r="F80" s="674"/>
      <c r="G80" s="674"/>
      <c r="H80" s="674"/>
      <c r="I80" s="531"/>
      <c r="J80" s="535"/>
      <c r="K80" s="534"/>
      <c r="L80" s="534"/>
      <c r="M80" s="534"/>
      <c r="Q80" s="146">
        <f t="shared" si="10"/>
        <v>0</v>
      </c>
      <c r="R80" s="146">
        <f t="shared" si="11"/>
        <v>0</v>
      </c>
      <c r="S80" s="146">
        <f t="shared" si="12"/>
        <v>0</v>
      </c>
      <c r="T80" s="146">
        <f t="shared" si="13"/>
        <v>0</v>
      </c>
      <c r="U80" s="146">
        <f t="shared" si="14"/>
        <v>0</v>
      </c>
    </row>
    <row r="81" spans="1:21" ht="12.95" customHeight="1">
      <c r="A81" s="156"/>
      <c r="B81" s="761" t="s">
        <v>542</v>
      </c>
      <c r="C81" s="1038"/>
      <c r="D81" s="31">
        <f>D53</f>
        <v>0</v>
      </c>
      <c r="E81" s="30">
        <f>E53</f>
        <v>0</v>
      </c>
      <c r="F81" s="30">
        <f>F53</f>
        <v>0</v>
      </c>
      <c r="G81" s="30">
        <f>G53</f>
        <v>0</v>
      </c>
      <c r="H81" s="30">
        <f>H53</f>
        <v>0</v>
      </c>
      <c r="I81" s="75">
        <f t="shared" ref="I81:I87" si="15">SUM(D81:H81)</f>
        <v>0</v>
      </c>
      <c r="J81" s="535"/>
      <c r="K81" s="534"/>
      <c r="L81" s="534"/>
      <c r="M81" s="534"/>
      <c r="Q81" s="146">
        <f t="shared" si="10"/>
        <v>0</v>
      </c>
      <c r="R81" s="146">
        <f t="shared" si="11"/>
        <v>0</v>
      </c>
      <c r="S81" s="146">
        <f t="shared" si="12"/>
        <v>0</v>
      </c>
      <c r="T81" s="146">
        <f t="shared" si="13"/>
        <v>0</v>
      </c>
      <c r="U81" s="146">
        <f t="shared" si="14"/>
        <v>0</v>
      </c>
    </row>
    <row r="82" spans="1:21" ht="12.95" customHeight="1">
      <c r="A82" s="156"/>
      <c r="B82" s="761" t="s">
        <v>570</v>
      </c>
      <c r="C82" s="1038"/>
      <c r="D82" s="31">
        <f>-D31</f>
        <v>0</v>
      </c>
      <c r="E82" s="32">
        <f>-E31</f>
        <v>0</v>
      </c>
      <c r="F82" s="32">
        <f>-F31</f>
        <v>0</v>
      </c>
      <c r="G82" s="32">
        <f>-G31</f>
        <v>0</v>
      </c>
      <c r="H82" s="32">
        <f>-H31</f>
        <v>0</v>
      </c>
      <c r="I82" s="75">
        <f t="shared" si="15"/>
        <v>0</v>
      </c>
      <c r="J82" s="535"/>
      <c r="K82" s="534"/>
      <c r="L82" s="534"/>
      <c r="M82" s="534"/>
      <c r="Q82" s="146">
        <f t="shared" si="10"/>
        <v>0</v>
      </c>
      <c r="R82" s="146">
        <f t="shared" si="11"/>
        <v>0</v>
      </c>
      <c r="S82" s="146">
        <f t="shared" si="12"/>
        <v>0</v>
      </c>
      <c r="T82" s="146">
        <f t="shared" si="13"/>
        <v>0</v>
      </c>
      <c r="U82" s="146">
        <f t="shared" si="14"/>
        <v>0</v>
      </c>
    </row>
    <row r="83" spans="1:21" ht="12.95" customHeight="1">
      <c r="A83" s="156"/>
      <c r="B83" s="761" t="s">
        <v>571</v>
      </c>
      <c r="C83" s="1038"/>
      <c r="D83" s="112">
        <f>-D42</f>
        <v>0</v>
      </c>
      <c r="E83" s="106">
        <f>-E42</f>
        <v>0</v>
      </c>
      <c r="F83" s="106">
        <f>-F42</f>
        <v>0</v>
      </c>
      <c r="G83" s="232">
        <f>-G42</f>
        <v>0</v>
      </c>
      <c r="H83" s="106">
        <f>-H42</f>
        <v>0</v>
      </c>
      <c r="I83" s="187">
        <f>SUM(D83:H83)</f>
        <v>0</v>
      </c>
      <c r="J83" s="535"/>
      <c r="K83" s="534"/>
      <c r="L83" s="534"/>
      <c r="M83" s="534"/>
      <c r="Q83" s="146">
        <f t="shared" si="10"/>
        <v>0</v>
      </c>
      <c r="R83" s="146">
        <f t="shared" si="11"/>
        <v>0</v>
      </c>
      <c r="S83" s="146">
        <f t="shared" si="12"/>
        <v>0</v>
      </c>
      <c r="T83" s="146">
        <f t="shared" si="13"/>
        <v>0</v>
      </c>
      <c r="U83" s="146">
        <f t="shared" si="14"/>
        <v>0</v>
      </c>
    </row>
    <row r="84" spans="1:21" ht="12.95" customHeight="1">
      <c r="A84" s="156"/>
      <c r="B84" s="761" t="s">
        <v>572</v>
      </c>
      <c r="C84" s="1038"/>
      <c r="D84" s="31">
        <f>-D49</f>
        <v>0</v>
      </c>
      <c r="E84" s="32">
        <f>-E49</f>
        <v>0</v>
      </c>
      <c r="F84" s="32">
        <f>-F49</f>
        <v>0</v>
      </c>
      <c r="G84" s="32">
        <f>-G49</f>
        <v>0</v>
      </c>
      <c r="H84" s="32">
        <f>-H49</f>
        <v>0</v>
      </c>
      <c r="I84" s="75">
        <f t="shared" si="15"/>
        <v>0</v>
      </c>
      <c r="J84" s="535"/>
      <c r="K84" s="534"/>
      <c r="L84" s="534"/>
      <c r="M84" s="534"/>
      <c r="Q84" s="146">
        <f t="shared" si="10"/>
        <v>0</v>
      </c>
      <c r="R84" s="146">
        <f t="shared" si="11"/>
        <v>0</v>
      </c>
      <c r="S84" s="146">
        <f t="shared" si="12"/>
        <v>0</v>
      </c>
      <c r="T84" s="146">
        <f t="shared" si="13"/>
        <v>0</v>
      </c>
      <c r="U84" s="146">
        <f t="shared" si="14"/>
        <v>0</v>
      </c>
    </row>
    <row r="85" spans="1:21" ht="12.95" customHeight="1">
      <c r="A85" s="156"/>
      <c r="C85" s="233" t="s">
        <v>573</v>
      </c>
      <c r="D85" s="23">
        <f>-N147</f>
        <v>0</v>
      </c>
      <c r="E85" s="32">
        <f>-O147</f>
        <v>0</v>
      </c>
      <c r="F85" s="32">
        <f>-P147</f>
        <v>0</v>
      </c>
      <c r="G85" s="32">
        <f>-Q147</f>
        <v>0</v>
      </c>
      <c r="H85" s="32">
        <f>-R147</f>
        <v>0</v>
      </c>
      <c r="I85" s="75">
        <f t="shared" si="15"/>
        <v>0</v>
      </c>
      <c r="J85" s="535"/>
      <c r="K85" s="534"/>
      <c r="L85" s="534"/>
      <c r="M85" s="534"/>
      <c r="Q85" s="146">
        <f t="shared" si="10"/>
        <v>0</v>
      </c>
      <c r="R85" s="146">
        <f t="shared" si="11"/>
        <v>0</v>
      </c>
      <c r="S85" s="146">
        <f t="shared" si="12"/>
        <v>0</v>
      </c>
      <c r="T85" s="146">
        <f t="shared" si="13"/>
        <v>0</v>
      </c>
      <c r="U85" s="146">
        <f t="shared" si="14"/>
        <v>0</v>
      </c>
    </row>
    <row r="86" spans="1:21" ht="12.95" customHeight="1">
      <c r="A86" s="156"/>
      <c r="B86" s="764" t="s">
        <v>574</v>
      </c>
      <c r="C86" s="1038"/>
      <c r="D86" s="9"/>
      <c r="E86" s="66"/>
      <c r="F86" s="66"/>
      <c r="G86" s="66"/>
      <c r="H86" s="66"/>
      <c r="I86" s="75">
        <f t="shared" si="15"/>
        <v>0</v>
      </c>
      <c r="J86" s="535"/>
      <c r="K86" s="534"/>
      <c r="L86" s="534"/>
      <c r="M86" s="534"/>
      <c r="Q86" s="146">
        <f t="shared" si="10"/>
        <v>0</v>
      </c>
      <c r="R86" s="146">
        <f t="shared" si="11"/>
        <v>0</v>
      </c>
      <c r="S86" s="146">
        <f t="shared" si="12"/>
        <v>0</v>
      </c>
      <c r="T86" s="146">
        <f t="shared" si="13"/>
        <v>0</v>
      </c>
      <c r="U86" s="146">
        <f t="shared" si="14"/>
        <v>0</v>
      </c>
    </row>
    <row r="87" spans="1:21" s="235" customFormat="1" ht="12.95" customHeight="1" thickBot="1">
      <c r="A87" s="234"/>
      <c r="B87" s="767" t="s">
        <v>575</v>
      </c>
      <c r="C87" s="1040"/>
      <c r="D87" s="71">
        <f>SUM(D81:D86)</f>
        <v>0</v>
      </c>
      <c r="E87" s="72">
        <f t="shared" ref="E87:H87" si="16">SUM(E81:E86)</f>
        <v>0</v>
      </c>
      <c r="F87" s="72">
        <f t="shared" si="16"/>
        <v>0</v>
      </c>
      <c r="G87" s="72">
        <f t="shared" si="16"/>
        <v>0</v>
      </c>
      <c r="H87" s="72">
        <f t="shared" si="16"/>
        <v>0</v>
      </c>
      <c r="I87" s="76">
        <f t="shared" si="15"/>
        <v>0</v>
      </c>
      <c r="J87" s="535"/>
      <c r="K87" s="534"/>
      <c r="L87" s="533"/>
      <c r="M87" s="533"/>
      <c r="Q87" s="146">
        <f t="shared" si="10"/>
        <v>0</v>
      </c>
      <c r="R87" s="146">
        <f t="shared" si="11"/>
        <v>0</v>
      </c>
      <c r="S87" s="146">
        <f t="shared" si="12"/>
        <v>0</v>
      </c>
      <c r="T87" s="146">
        <f t="shared" si="13"/>
        <v>0</v>
      </c>
      <c r="U87" s="146">
        <f t="shared" si="14"/>
        <v>0</v>
      </c>
    </row>
    <row r="88" spans="1:21" ht="12.95" customHeight="1">
      <c r="A88" s="664" t="s">
        <v>454</v>
      </c>
      <c r="B88" s="154" t="s">
        <v>576</v>
      </c>
      <c r="C88" s="230"/>
      <c r="D88" s="230"/>
      <c r="E88" s="230"/>
      <c r="F88" s="230"/>
      <c r="G88" s="230"/>
      <c r="H88" s="230"/>
      <c r="I88" s="236"/>
      <c r="J88" s="540"/>
      <c r="K88" s="541"/>
      <c r="L88" s="534"/>
      <c r="M88" s="534"/>
      <c r="Q88" s="146">
        <f t="shared" si="10"/>
        <v>0</v>
      </c>
      <c r="R88" s="146">
        <f t="shared" si="11"/>
        <v>0</v>
      </c>
      <c r="S88" s="146">
        <f t="shared" si="12"/>
        <v>0</v>
      </c>
      <c r="T88" s="146">
        <f t="shared" si="13"/>
        <v>0</v>
      </c>
      <c r="U88" s="146">
        <f t="shared" si="14"/>
        <v>0</v>
      </c>
    </row>
    <row r="89" spans="1:21" ht="12.95" customHeight="1">
      <c r="A89" s="663"/>
      <c r="B89" s="90"/>
      <c r="C89" s="144"/>
      <c r="D89" s="64"/>
      <c r="E89" s="7"/>
      <c r="F89" s="7"/>
      <c r="G89" s="7"/>
      <c r="H89" s="161"/>
      <c r="I89" s="77">
        <f t="shared" ref="I89:I112" si="17">SUM(D89:H89)</f>
        <v>0</v>
      </c>
      <c r="J89" s="726" t="s">
        <v>438</v>
      </c>
      <c r="K89" s="1041"/>
      <c r="L89" s="1041"/>
      <c r="M89" s="1042"/>
      <c r="Q89" s="146">
        <f t="shared" si="10"/>
        <v>0</v>
      </c>
      <c r="R89" s="146">
        <f t="shared" si="11"/>
        <v>0</v>
      </c>
      <c r="S89" s="146">
        <f t="shared" si="12"/>
        <v>0</v>
      </c>
      <c r="T89" s="146">
        <f t="shared" si="13"/>
        <v>0</v>
      </c>
      <c r="U89" s="146">
        <f t="shared" si="14"/>
        <v>0</v>
      </c>
    </row>
    <row r="90" spans="1:21" ht="12.95" customHeight="1">
      <c r="A90" s="663"/>
      <c r="B90" s="91"/>
      <c r="C90" s="145"/>
      <c r="D90" s="65"/>
      <c r="E90" s="8"/>
      <c r="F90" s="8"/>
      <c r="G90" s="8"/>
      <c r="H90" s="163"/>
      <c r="I90" s="78">
        <f t="shared" si="17"/>
        <v>0</v>
      </c>
      <c r="J90" s="546">
        <v>50010</v>
      </c>
      <c r="K90" s="1042" t="s">
        <v>457</v>
      </c>
      <c r="L90" s="1042"/>
      <c r="M90" s="1042"/>
      <c r="Q90" s="146">
        <f t="shared" si="10"/>
        <v>0</v>
      </c>
      <c r="R90" s="146">
        <f t="shared" si="11"/>
        <v>0</v>
      </c>
      <c r="S90" s="146">
        <f t="shared" si="12"/>
        <v>0</v>
      </c>
      <c r="T90" s="146">
        <f t="shared" si="13"/>
        <v>0</v>
      </c>
      <c r="U90" s="146">
        <f t="shared" si="14"/>
        <v>0</v>
      </c>
    </row>
    <row r="91" spans="1:21" ht="12.95" customHeight="1">
      <c r="A91" s="663"/>
      <c r="B91" s="91"/>
      <c r="C91" s="1"/>
      <c r="D91" s="65"/>
      <c r="E91" s="8"/>
      <c r="F91" s="8"/>
      <c r="G91" s="8"/>
      <c r="H91" s="163"/>
      <c r="I91" s="78">
        <f t="shared" si="17"/>
        <v>0</v>
      </c>
      <c r="J91" s="546" t="s">
        <v>459</v>
      </c>
      <c r="K91" s="1043" t="s">
        <v>460</v>
      </c>
      <c r="L91" s="1042"/>
      <c r="M91" s="1042"/>
      <c r="Q91" s="146">
        <f>IF(LEN($A22)=5,D22,0)</f>
        <v>0</v>
      </c>
      <c r="R91" s="146">
        <f>IF(LEN($A22)=5,E22,0)</f>
        <v>0</v>
      </c>
      <c r="S91" s="146">
        <f>IF(LEN($A22)=5,F22,0)</f>
        <v>0</v>
      </c>
      <c r="T91" s="146">
        <f>IF(LEN($A22)=5,G22,0)</f>
        <v>0</v>
      </c>
      <c r="U91" s="146">
        <f>IF(LEN($A22)=5,H22,0)</f>
        <v>0</v>
      </c>
    </row>
    <row r="92" spans="1:21" ht="12.95" customHeight="1">
      <c r="A92" s="663"/>
      <c r="B92" s="91"/>
      <c r="C92" s="1"/>
      <c r="D92" s="65"/>
      <c r="E92" s="8"/>
      <c r="F92" s="8"/>
      <c r="G92" s="8"/>
      <c r="H92" s="163"/>
      <c r="I92" s="78">
        <f t="shared" si="17"/>
        <v>0</v>
      </c>
      <c r="J92" s="546" t="s">
        <v>462</v>
      </c>
      <c r="K92" s="1043" t="s">
        <v>463</v>
      </c>
      <c r="L92" s="1042"/>
      <c r="M92" s="1042"/>
    </row>
    <row r="93" spans="1:21" ht="12.95" customHeight="1">
      <c r="A93" s="663"/>
      <c r="B93" s="91"/>
      <c r="C93" s="1"/>
      <c r="D93" s="65"/>
      <c r="E93" s="8"/>
      <c r="F93" s="8"/>
      <c r="G93" s="8"/>
      <c r="H93" s="163"/>
      <c r="I93" s="78">
        <f t="shared" si="17"/>
        <v>0</v>
      </c>
      <c r="J93" s="546" t="s">
        <v>465</v>
      </c>
      <c r="K93" s="1043" t="s">
        <v>466</v>
      </c>
      <c r="L93" s="1042"/>
      <c r="M93" s="1042"/>
    </row>
    <row r="94" spans="1:21" ht="12.95" customHeight="1">
      <c r="A94" s="663"/>
      <c r="B94" s="91"/>
      <c r="C94" s="1"/>
      <c r="D94" s="65"/>
      <c r="E94" s="8"/>
      <c r="F94" s="8"/>
      <c r="G94" s="8"/>
      <c r="H94" s="163"/>
      <c r="I94" s="78">
        <f t="shared" si="17"/>
        <v>0</v>
      </c>
      <c r="J94" s="547" t="s">
        <v>470</v>
      </c>
      <c r="K94" s="548" t="s">
        <v>471</v>
      </c>
      <c r="L94" s="549"/>
      <c r="M94" s="550"/>
    </row>
    <row r="95" spans="1:21" ht="12.95" customHeight="1">
      <c r="A95" s="663"/>
      <c r="B95" s="91"/>
      <c r="C95" s="1"/>
      <c r="D95" s="65"/>
      <c r="E95" s="8"/>
      <c r="F95" s="8"/>
      <c r="G95" s="8"/>
      <c r="H95" s="163"/>
      <c r="I95" s="78">
        <f t="shared" si="17"/>
        <v>0</v>
      </c>
      <c r="J95" s="547">
        <v>50400</v>
      </c>
      <c r="K95" s="548" t="s">
        <v>577</v>
      </c>
      <c r="L95" s="549"/>
      <c r="M95" s="550"/>
    </row>
    <row r="96" spans="1:21" ht="12.95" customHeight="1">
      <c r="A96" s="663"/>
      <c r="B96" s="91"/>
      <c r="C96" s="1"/>
      <c r="D96" s="65"/>
      <c r="E96" s="8"/>
      <c r="F96" s="8"/>
      <c r="G96" s="8"/>
      <c r="H96" s="163"/>
      <c r="I96" s="78">
        <f t="shared" si="17"/>
        <v>0</v>
      </c>
      <c r="J96" s="551"/>
      <c r="K96" s="552"/>
      <c r="L96" s="550"/>
      <c r="M96" s="550"/>
    </row>
    <row r="97" spans="1:13" ht="12.95" customHeight="1">
      <c r="A97" s="663"/>
      <c r="B97" s="91"/>
      <c r="C97" s="1"/>
      <c r="D97" s="65"/>
      <c r="E97" s="8"/>
      <c r="F97" s="8"/>
      <c r="G97" s="8"/>
      <c r="H97" s="163"/>
      <c r="I97" s="78">
        <f t="shared" si="17"/>
        <v>0</v>
      </c>
      <c r="J97" s="214"/>
      <c r="K97" s="237"/>
    </row>
    <row r="98" spans="1:13" ht="12.95" customHeight="1">
      <c r="A98" s="663"/>
      <c r="B98" s="91"/>
      <c r="C98" s="1"/>
      <c r="D98" s="65"/>
      <c r="E98" s="8"/>
      <c r="F98" s="8"/>
      <c r="G98" s="8"/>
      <c r="H98" s="163"/>
      <c r="I98" s="78">
        <f t="shared" si="17"/>
        <v>0</v>
      </c>
      <c r="J98" s="214"/>
      <c r="K98" s="237"/>
    </row>
    <row r="99" spans="1:13" ht="12.95" customHeight="1">
      <c r="A99" s="663"/>
      <c r="B99" s="91"/>
      <c r="C99" s="1"/>
      <c r="D99" s="65"/>
      <c r="E99" s="8"/>
      <c r="F99" s="8"/>
      <c r="G99" s="8"/>
      <c r="H99" s="163"/>
      <c r="I99" s="78">
        <f t="shared" si="17"/>
        <v>0</v>
      </c>
      <c r="J99" s="214"/>
      <c r="K99" s="237"/>
    </row>
    <row r="100" spans="1:13" ht="12.95" customHeight="1">
      <c r="A100" s="663"/>
      <c r="B100" s="91"/>
      <c r="C100" s="1"/>
      <c r="D100" s="65"/>
      <c r="E100" s="8"/>
      <c r="F100" s="8"/>
      <c r="G100" s="8"/>
      <c r="H100" s="163"/>
      <c r="I100" s="78">
        <f t="shared" si="17"/>
        <v>0</v>
      </c>
      <c r="J100" s="214"/>
      <c r="K100" s="237"/>
    </row>
    <row r="101" spans="1:13" ht="12.95" customHeight="1">
      <c r="A101" s="663"/>
      <c r="B101" s="91"/>
      <c r="C101" s="1"/>
      <c r="D101" s="65"/>
      <c r="E101" s="8"/>
      <c r="F101" s="8"/>
      <c r="G101" s="8"/>
      <c r="H101" s="163"/>
      <c r="I101" s="78">
        <f t="shared" si="17"/>
        <v>0</v>
      </c>
      <c r="J101" s="214"/>
      <c r="K101" s="237"/>
    </row>
    <row r="102" spans="1:13" ht="12.95" customHeight="1">
      <c r="A102" s="663"/>
      <c r="B102" s="91"/>
      <c r="C102" s="1"/>
      <c r="D102" s="65"/>
      <c r="E102" s="8"/>
      <c r="F102" s="8"/>
      <c r="G102" s="8"/>
      <c r="H102" s="163"/>
      <c r="I102" s="78">
        <f t="shared" si="17"/>
        <v>0</v>
      </c>
      <c r="J102" s="214"/>
      <c r="K102" s="237"/>
    </row>
    <row r="103" spans="1:13" ht="12.95" customHeight="1">
      <c r="A103" s="663"/>
      <c r="B103" s="91"/>
      <c r="C103" s="1"/>
      <c r="D103" s="65"/>
      <c r="E103" s="8"/>
      <c r="F103" s="8"/>
      <c r="G103" s="8"/>
      <c r="H103" s="163"/>
      <c r="I103" s="78">
        <f t="shared" si="17"/>
        <v>0</v>
      </c>
      <c r="J103" s="214"/>
      <c r="K103" s="237"/>
    </row>
    <row r="104" spans="1:13" ht="12.95" customHeight="1">
      <c r="A104" s="663"/>
      <c r="B104" s="92"/>
      <c r="C104" s="1"/>
      <c r="D104" s="95"/>
      <c r="E104" s="157"/>
      <c r="F104" s="157"/>
      <c r="G104" s="157"/>
      <c r="H104" s="133"/>
      <c r="I104" s="78">
        <f t="shared" si="17"/>
        <v>0</v>
      </c>
      <c r="J104" s="214"/>
      <c r="K104" s="237"/>
    </row>
    <row r="105" spans="1:13" ht="12.95" customHeight="1" thickBot="1">
      <c r="A105" s="156"/>
      <c r="B105" s="767" t="s">
        <v>578</v>
      </c>
      <c r="C105" s="768"/>
      <c r="D105" s="71">
        <f>SUM(D89:D104)</f>
        <v>0</v>
      </c>
      <c r="E105" s="71">
        <f>SUM(E89:E104)</f>
        <v>0</v>
      </c>
      <c r="F105" s="71">
        <f>SUM(F89:F104)</f>
        <v>0</v>
      </c>
      <c r="G105" s="71">
        <f>SUM(G89:G104)</f>
        <v>0</v>
      </c>
      <c r="H105" s="71">
        <f>SUM(H89:H104)</f>
        <v>0</v>
      </c>
      <c r="I105" s="79">
        <f t="shared" si="17"/>
        <v>0</v>
      </c>
      <c r="J105" s="213"/>
      <c r="K105" s="238"/>
    </row>
    <row r="106" spans="1:13" ht="12.95" customHeight="1">
      <c r="A106" s="156"/>
      <c r="B106" s="84" t="s">
        <v>579</v>
      </c>
      <c r="C106" s="230"/>
      <c r="D106" s="230"/>
      <c r="E106" s="230"/>
      <c r="F106" s="230"/>
      <c r="G106" s="230"/>
      <c r="H106" s="230"/>
      <c r="I106" s="236"/>
    </row>
    <row r="107" spans="1:13" ht="12.95" customHeight="1">
      <c r="A107" s="667"/>
      <c r="B107" s="90"/>
      <c r="C107" s="3"/>
      <c r="D107" s="64"/>
      <c r="E107" s="7"/>
      <c r="F107" s="7"/>
      <c r="G107" s="7"/>
      <c r="H107" s="161"/>
      <c r="I107" s="80">
        <f t="shared" si="17"/>
        <v>0</v>
      </c>
      <c r="J107" s="722" t="s">
        <v>507</v>
      </c>
      <c r="K107" s="723"/>
      <c r="L107" s="723"/>
      <c r="M107" s="723"/>
    </row>
    <row r="108" spans="1:13" ht="12.95" customHeight="1">
      <c r="A108" s="667"/>
      <c r="B108" s="91"/>
      <c r="C108" s="3"/>
      <c r="D108" s="65"/>
      <c r="E108" s="8"/>
      <c r="F108" s="8"/>
      <c r="G108" s="8"/>
      <c r="H108" s="163"/>
      <c r="I108" s="80">
        <f t="shared" si="17"/>
        <v>0</v>
      </c>
      <c r="J108" s="211" t="s">
        <v>508</v>
      </c>
      <c r="K108" s="721" t="s">
        <v>509</v>
      </c>
      <c r="L108" s="721"/>
      <c r="M108" s="721"/>
    </row>
    <row r="109" spans="1:13" ht="12.95" customHeight="1">
      <c r="A109" s="667"/>
      <c r="B109" s="91"/>
      <c r="C109" s="3"/>
      <c r="D109" s="65"/>
      <c r="E109" s="8"/>
      <c r="F109" s="8"/>
      <c r="G109" s="8"/>
      <c r="H109" s="163"/>
      <c r="I109" s="80">
        <f t="shared" si="17"/>
        <v>0</v>
      </c>
      <c r="J109" s="212">
        <v>62300</v>
      </c>
      <c r="K109" s="721" t="s">
        <v>510</v>
      </c>
      <c r="L109" s="721"/>
      <c r="M109" s="721"/>
    </row>
    <row r="110" spans="1:13" ht="12.95" customHeight="1">
      <c r="A110" s="667"/>
      <c r="B110" s="91"/>
      <c r="C110" s="3"/>
      <c r="D110" s="65"/>
      <c r="E110" s="8"/>
      <c r="F110" s="8"/>
      <c r="G110" s="8"/>
      <c r="H110" s="163"/>
      <c r="I110" s="80">
        <f t="shared" si="17"/>
        <v>0</v>
      </c>
      <c r="J110" s="211" t="s">
        <v>512</v>
      </c>
      <c r="K110" s="736" t="s">
        <v>513</v>
      </c>
      <c r="L110" s="737"/>
      <c r="M110" s="737"/>
    </row>
    <row r="111" spans="1:13" ht="12.95" customHeight="1">
      <c r="A111" s="667"/>
      <c r="B111" s="91"/>
      <c r="C111" s="3"/>
      <c r="D111" s="95"/>
      <c r="E111" s="157"/>
      <c r="F111" s="157"/>
      <c r="G111" s="157"/>
      <c r="H111" s="133"/>
      <c r="I111" s="80">
        <f t="shared" si="17"/>
        <v>0</v>
      </c>
      <c r="J111" s="211" t="s">
        <v>515</v>
      </c>
      <c r="K111" s="736" t="s">
        <v>516</v>
      </c>
      <c r="L111" s="737"/>
      <c r="M111" s="737"/>
    </row>
    <row r="112" spans="1:13" ht="12.95" customHeight="1" thickBot="1">
      <c r="A112" s="156"/>
      <c r="B112" s="768" t="s">
        <v>580</v>
      </c>
      <c r="C112" s="768"/>
      <c r="D112" s="71">
        <f>SUM(D107:D111)</f>
        <v>0</v>
      </c>
      <c r="E112" s="71">
        <f>SUM(E107:E111)</f>
        <v>0</v>
      </c>
      <c r="F112" s="71">
        <f>SUM(F107:F111)</f>
        <v>0</v>
      </c>
      <c r="G112" s="71">
        <f>SUM(G107:G111)</f>
        <v>0</v>
      </c>
      <c r="H112" s="71">
        <f>SUM(H107:H111)</f>
        <v>0</v>
      </c>
      <c r="I112" s="79">
        <f t="shared" si="17"/>
        <v>0</v>
      </c>
      <c r="J112" s="214"/>
      <c r="K112" s="237"/>
    </row>
    <row r="113" spans="1:24" ht="12.95" customHeight="1">
      <c r="A113" s="156"/>
      <c r="B113" s="757" t="s">
        <v>581</v>
      </c>
      <c r="C113" s="757"/>
      <c r="D113" s="757"/>
      <c r="E113" s="757"/>
      <c r="F113" s="757"/>
      <c r="G113" s="757"/>
      <c r="H113" s="757"/>
      <c r="I113" s="758"/>
      <c r="J113" s="214"/>
      <c r="K113" s="237"/>
    </row>
    <row r="114" spans="1:24" ht="12.95" customHeight="1">
      <c r="A114" s="199"/>
      <c r="B114" s="770" t="s">
        <v>582</v>
      </c>
      <c r="C114" s="1044"/>
      <c r="D114" s="1044"/>
      <c r="E114" s="1044"/>
      <c r="F114" s="1044"/>
      <c r="G114" s="1044"/>
      <c r="H114" s="1044"/>
      <c r="I114" s="1045"/>
      <c r="J114" s="214"/>
      <c r="K114" s="237"/>
    </row>
    <row r="115" spans="1:24" ht="12.95" customHeight="1">
      <c r="A115" s="675">
        <v>60900</v>
      </c>
      <c r="B115" s="91"/>
      <c r="C115" s="138" t="s">
        <v>583</v>
      </c>
      <c r="D115" s="64"/>
      <c r="E115" s="7"/>
      <c r="F115" s="7"/>
      <c r="G115" s="7"/>
      <c r="H115" s="161"/>
      <c r="I115" s="80">
        <f>SUM(D115:H115)</f>
        <v>0</v>
      </c>
    </row>
    <row r="116" spans="1:24">
      <c r="A116" s="676"/>
      <c r="B116" s="91"/>
      <c r="C116" s="470"/>
      <c r="D116" s="65"/>
      <c r="E116" s="8"/>
      <c r="F116" s="8"/>
      <c r="G116" s="8"/>
      <c r="H116" s="163"/>
      <c r="I116" s="80">
        <f>SUM(D116:H116)</f>
        <v>0</v>
      </c>
    </row>
    <row r="117" spans="1:24">
      <c r="A117" s="667"/>
      <c r="B117" s="91"/>
      <c r="C117" s="3"/>
      <c r="D117" s="65"/>
      <c r="E117" s="8"/>
      <c r="F117" s="8"/>
      <c r="G117" s="8"/>
      <c r="H117" s="163"/>
      <c r="I117" s="80">
        <f>SUM(D117:H117)</f>
        <v>0</v>
      </c>
    </row>
    <row r="118" spans="1:24">
      <c r="A118" s="667"/>
      <c r="B118" s="91"/>
      <c r="C118" s="3"/>
      <c r="D118" s="65"/>
      <c r="E118" s="8"/>
      <c r="F118" s="8"/>
      <c r="G118" s="8"/>
      <c r="H118" s="163"/>
      <c r="I118" s="78">
        <f t="shared" ref="I118:I123" si="18">SUM(D118:H118)</f>
        <v>0</v>
      </c>
    </row>
    <row r="119" spans="1:24">
      <c r="A119" s="667"/>
      <c r="B119" s="91"/>
      <c r="C119" s="3"/>
      <c r="D119" s="65"/>
      <c r="E119" s="8"/>
      <c r="F119" s="8"/>
      <c r="G119" s="8"/>
      <c r="H119" s="163"/>
      <c r="I119" s="78">
        <f t="shared" si="18"/>
        <v>0</v>
      </c>
    </row>
    <row r="120" spans="1:24">
      <c r="A120" s="667"/>
      <c r="B120" s="91"/>
      <c r="C120" s="3"/>
      <c r="D120" s="65"/>
      <c r="E120" s="8"/>
      <c r="F120" s="8"/>
      <c r="G120" s="8"/>
      <c r="H120" s="163"/>
      <c r="I120" s="78">
        <f t="shared" si="18"/>
        <v>0</v>
      </c>
    </row>
    <row r="121" spans="1:24">
      <c r="A121" s="667"/>
      <c r="B121" s="91"/>
      <c r="C121" s="3"/>
      <c r="D121" s="65"/>
      <c r="E121" s="8"/>
      <c r="F121" s="8"/>
      <c r="G121" s="8"/>
      <c r="H121" s="163"/>
      <c r="I121" s="78">
        <f t="shared" si="18"/>
        <v>0</v>
      </c>
    </row>
    <row r="122" spans="1:24">
      <c r="A122" s="667"/>
      <c r="B122" s="91"/>
      <c r="C122" s="3"/>
      <c r="D122" s="65"/>
      <c r="E122" s="8"/>
      <c r="F122" s="8"/>
      <c r="G122" s="8"/>
      <c r="H122" s="163"/>
      <c r="I122" s="78">
        <f t="shared" si="18"/>
        <v>0</v>
      </c>
    </row>
    <row r="123" spans="1:24">
      <c r="A123" s="667"/>
      <c r="B123" s="92"/>
      <c r="C123" s="70"/>
      <c r="D123" s="95"/>
      <c r="E123" s="157"/>
      <c r="F123" s="157"/>
      <c r="G123" s="157"/>
      <c r="H123" s="133"/>
      <c r="I123" s="94">
        <f t="shared" si="18"/>
        <v>0</v>
      </c>
    </row>
    <row r="124" spans="1:24" ht="13.5" thickBot="1">
      <c r="A124" s="199"/>
      <c r="B124" s="769" t="s">
        <v>584</v>
      </c>
      <c r="C124" s="1046"/>
      <c r="D124" s="72">
        <f t="shared" ref="D124:I124" si="19">SUM(D115:D123)</f>
        <v>0</v>
      </c>
      <c r="E124" s="72">
        <f t="shared" si="19"/>
        <v>0</v>
      </c>
      <c r="F124" s="72">
        <f t="shared" si="19"/>
        <v>0</v>
      </c>
      <c r="G124" s="72">
        <f t="shared" si="19"/>
        <v>0</v>
      </c>
      <c r="H124" s="72">
        <f t="shared" si="19"/>
        <v>0</v>
      </c>
      <c r="I124" s="76">
        <f t="shared" si="19"/>
        <v>0</v>
      </c>
    </row>
    <row r="125" spans="1:24" ht="12.95" customHeight="1">
      <c r="A125" s="156"/>
      <c r="B125" s="827" t="s">
        <v>585</v>
      </c>
      <c r="C125" s="828"/>
      <c r="D125" s="828"/>
      <c r="E125" s="828"/>
      <c r="F125" s="828"/>
      <c r="G125" s="828"/>
      <c r="H125" s="828"/>
      <c r="I125" s="829"/>
      <c r="M125" s="724" t="s">
        <v>586</v>
      </c>
      <c r="N125" s="778" t="s">
        <v>587</v>
      </c>
      <c r="O125" s="730"/>
      <c r="P125" s="730"/>
      <c r="Q125" s="730"/>
      <c r="R125" s="730"/>
      <c r="S125" s="754" t="s">
        <v>588</v>
      </c>
      <c r="T125" s="730"/>
      <c r="U125" s="730"/>
      <c r="V125" s="730"/>
      <c r="W125" s="1047"/>
      <c r="X125" s="1028"/>
    </row>
    <row r="126" spans="1:24" ht="12.95" customHeight="1" thickBot="1">
      <c r="A126" s="156"/>
      <c r="B126" s="769" t="s">
        <v>589</v>
      </c>
      <c r="C126" s="1039"/>
      <c r="D126" s="240"/>
      <c r="E126" s="189"/>
      <c r="F126" s="189"/>
      <c r="G126" s="189"/>
      <c r="H126" s="189"/>
      <c r="I126" s="241"/>
      <c r="M126" s="725"/>
      <c r="N126" s="239" t="s">
        <v>448</v>
      </c>
      <c r="O126" s="242" t="s">
        <v>449</v>
      </c>
      <c r="P126" s="242" t="s">
        <v>450</v>
      </c>
      <c r="Q126" s="242" t="s">
        <v>451</v>
      </c>
      <c r="R126" s="242" t="s">
        <v>452</v>
      </c>
      <c r="S126" s="243" t="s">
        <v>448</v>
      </c>
      <c r="T126" s="242" t="s">
        <v>449</v>
      </c>
      <c r="U126" s="242" t="s">
        <v>450</v>
      </c>
      <c r="V126" s="242"/>
      <c r="W126" s="242" t="s">
        <v>451</v>
      </c>
      <c r="X126" s="244" t="s">
        <v>452</v>
      </c>
    </row>
    <row r="127" spans="1:24" ht="12.95" customHeight="1">
      <c r="A127" s="155"/>
      <c r="B127" s="505" t="s">
        <v>590</v>
      </c>
      <c r="C127" s="96"/>
      <c r="D127" s="97"/>
      <c r="E127" s="98"/>
      <c r="F127" s="98"/>
      <c r="G127" s="98"/>
      <c r="H127" s="97"/>
      <c r="I127" s="245">
        <f>SUM(D127:H127)</f>
        <v>0</v>
      </c>
      <c r="L127">
        <v>1</v>
      </c>
      <c r="M127" s="246" t="str">
        <f>IF(C127="","",C127)</f>
        <v/>
      </c>
      <c r="N127" s="31">
        <f>D127-S127</f>
        <v>0</v>
      </c>
      <c r="O127" s="31">
        <f>E127-T127</f>
        <v>0</v>
      </c>
      <c r="P127" s="31">
        <f>F127-U127</f>
        <v>0</v>
      </c>
      <c r="Q127" s="31">
        <f>G127-W127</f>
        <v>0</v>
      </c>
      <c r="R127" s="31">
        <f>H127-X127</f>
        <v>0</v>
      </c>
      <c r="S127" s="111">
        <f>IF(D127&gt;25000,25000,D127)</f>
        <v>0</v>
      </c>
      <c r="T127" s="112">
        <f>IF(S127&lt;25000,IF(E127&gt;(25000-S127),25000-S127,E127),0)</f>
        <v>0</v>
      </c>
      <c r="U127" s="112">
        <f>IF(SUM(S127:T127)&lt;25000,IF(F127&gt;(25000-SUM(S127:T127)),25000-SUM(S127:T127),F127),0)</f>
        <v>0</v>
      </c>
      <c r="V127" s="112"/>
      <c r="W127" s="119">
        <f>IF(SUM(S127:U127)&lt;25000,IF(G127&gt;(25000-SUM(S127:U127)),25000-SUM(S127:U127),G127),0)</f>
        <v>0</v>
      </c>
      <c r="X127" s="166">
        <f>IF(SUM(S127:W127)&lt;25000,IF(H127&gt;(25000-SUM(S127:W127)),25000-SUM(S127:W127),H127),0)</f>
        <v>0</v>
      </c>
    </row>
    <row r="128" spans="1:24" ht="12.95" customHeight="1">
      <c r="A128" s="158">
        <v>60250</v>
      </c>
      <c r="B128" s="247"/>
      <c r="C128" s="109" t="s">
        <v>591</v>
      </c>
      <c r="D128" s="93">
        <f>S127</f>
        <v>0</v>
      </c>
      <c r="E128" s="638">
        <f>T127</f>
        <v>0</v>
      </c>
      <c r="F128" s="638">
        <f>U127</f>
        <v>0</v>
      </c>
      <c r="G128" s="638">
        <f>W127</f>
        <v>0</v>
      </c>
      <c r="H128" s="93">
        <f>X127</f>
        <v>0</v>
      </c>
      <c r="I128" s="248">
        <f t="shared" ref="I128:I156" si="20">SUM(D128:H128)</f>
        <v>0</v>
      </c>
      <c r="L128">
        <v>2</v>
      </c>
      <c r="M128" s="677" t="str">
        <f>IF(C130="","",C130)</f>
        <v/>
      </c>
      <c r="N128" s="31">
        <f>D130-S128</f>
        <v>0</v>
      </c>
      <c r="O128" s="31">
        <f>E130-T128</f>
        <v>0</v>
      </c>
      <c r="P128" s="31">
        <f>F130-U128</f>
        <v>0</v>
      </c>
      <c r="Q128" s="31">
        <f>G130-W128</f>
        <v>0</v>
      </c>
      <c r="R128" s="31">
        <f>H130-X128</f>
        <v>0</v>
      </c>
      <c r="S128" s="111">
        <f>IF(D130&gt;25000,25000,D130)</f>
        <v>0</v>
      </c>
      <c r="T128" s="112">
        <f>IF(S128&lt;25000,IF(E130&gt;(25000-S128),25000-S128,E130),0)</f>
        <v>0</v>
      </c>
      <c r="U128" s="112">
        <f>IF(SUM(S128:T128)&lt;25000,IF(F130&gt;(25000-SUM(S128:T128)),25000-SUM(S128:T128),F130),0)</f>
        <v>0</v>
      </c>
      <c r="V128" s="112"/>
      <c r="W128" s="112">
        <f>IF(SUM(S128:U128)&lt;25000,IF(G130&gt;(25000-SUM(S128:U128)),25000-SUM(S128:U128),G130),0)</f>
        <v>0</v>
      </c>
      <c r="X128" s="11">
        <f>IF(SUM(S128:W128)&lt;25000,IF(H130&gt;(25000-SUM(S128:W128)),25000-SUM(S128:W128),H130),0)</f>
        <v>0</v>
      </c>
    </row>
    <row r="129" spans="1:24" ht="12.95" customHeight="1" thickBot="1">
      <c r="A129" s="159">
        <v>60270</v>
      </c>
      <c r="B129" s="249"/>
      <c r="C129" s="110" t="s">
        <v>592</v>
      </c>
      <c r="D129" s="99">
        <f>D127-D128</f>
        <v>0</v>
      </c>
      <c r="E129" s="100">
        <f>E127-E128</f>
        <v>0</v>
      </c>
      <c r="F129" s="100">
        <f>F127-F128</f>
        <v>0</v>
      </c>
      <c r="G129" s="100">
        <f>G127-G128</f>
        <v>0</v>
      </c>
      <c r="H129" s="99">
        <f>H127-H128</f>
        <v>0</v>
      </c>
      <c r="I129" s="250">
        <f t="shared" si="20"/>
        <v>0</v>
      </c>
      <c r="L129">
        <v>3</v>
      </c>
      <c r="M129" s="677" t="str">
        <f>IF(C133="","",C133)</f>
        <v/>
      </c>
      <c r="N129" s="31">
        <f>D133-S129</f>
        <v>0</v>
      </c>
      <c r="O129" s="31">
        <f>E133-T129</f>
        <v>0</v>
      </c>
      <c r="P129" s="31">
        <f>F133-U129</f>
        <v>0</v>
      </c>
      <c r="Q129" s="31">
        <f>G133-W129</f>
        <v>0</v>
      </c>
      <c r="R129" s="31">
        <f>H133-X129</f>
        <v>0</v>
      </c>
      <c r="S129" s="111">
        <f>IF(D133&gt;25000,25000,D133)</f>
        <v>0</v>
      </c>
      <c r="T129" s="112">
        <f>IF(S129&lt;25000,IF(E133&gt;(25000-S129),25000-S129,E133),0)</f>
        <v>0</v>
      </c>
      <c r="U129" s="112">
        <f>IF(SUM(S129:T129)&lt;25000,IF(F133&gt;(25000-SUM(S129:T129)),25000-SUM(S129:T129),F133),0)</f>
        <v>0</v>
      </c>
      <c r="V129" s="112"/>
      <c r="W129" s="112">
        <f>IF(SUM(S129:U129)&lt;25000,IF(G133&gt;(25000-SUM(S129:U129)),25000-SUM(S129:U129),G133),0)</f>
        <v>0</v>
      </c>
      <c r="X129" s="11">
        <f>IF(SUM(S129:W129)&lt;25000,IF(H133&gt;(25000-SUM(S129:W129)),25000-SUM(S129:W129),H133),0)</f>
        <v>0</v>
      </c>
    </row>
    <row r="130" spans="1:24" ht="12.95" customHeight="1">
      <c r="A130" s="156"/>
      <c r="B130" s="506" t="s">
        <v>593</v>
      </c>
      <c r="C130" s="4"/>
      <c r="D130" s="95"/>
      <c r="E130" s="66"/>
      <c r="F130" s="66"/>
      <c r="G130" s="66"/>
      <c r="H130" s="95"/>
      <c r="I130" s="251">
        <f t="shared" si="20"/>
        <v>0</v>
      </c>
      <c r="L130">
        <v>4</v>
      </c>
      <c r="M130" s="677" t="str">
        <f>IF(C136="","",C136)</f>
        <v/>
      </c>
      <c r="N130" s="31">
        <f>D136-S130</f>
        <v>0</v>
      </c>
      <c r="O130" s="31">
        <f>E136-T130</f>
        <v>0</v>
      </c>
      <c r="P130" s="31">
        <f>F136-U130</f>
        <v>0</v>
      </c>
      <c r="Q130" s="31">
        <f>G136-W130</f>
        <v>0</v>
      </c>
      <c r="R130" s="31">
        <f>H136-X130</f>
        <v>0</v>
      </c>
      <c r="S130" s="111">
        <f>IF(D136&gt;25000,25000,D136)</f>
        <v>0</v>
      </c>
      <c r="T130" s="112">
        <f>IF(S130&lt;25000,IF(E136&gt;(25000-S130),25000-S130,E136),0)</f>
        <v>0</v>
      </c>
      <c r="U130" s="112">
        <f>IF(SUM(S130:T130)&lt;25000,IF(F136&gt;(25000-SUM(S130:T130)),25000-SUM(S130:T130),F136),0)</f>
        <v>0</v>
      </c>
      <c r="V130" s="112"/>
      <c r="W130" s="112">
        <f>IF(SUM(S130:U130)&lt;25000,IF(G136&gt;(25000-SUM(S130:U130)),25000-SUM(S130:U130),G136),0)</f>
        <v>0</v>
      </c>
      <c r="X130" s="11">
        <f>IF(SUM(S130:W130)&lt;25000,IF(H136&gt;(25000-SUM(S130:W130)),25000-SUM(S130:W130),H136),0)</f>
        <v>0</v>
      </c>
    </row>
    <row r="131" spans="1:24" ht="12.95" customHeight="1">
      <c r="A131" s="158">
        <v>60250</v>
      </c>
      <c r="B131" s="247"/>
      <c r="C131" s="109" t="s">
        <v>591</v>
      </c>
      <c r="D131" s="93">
        <f>S128</f>
        <v>0</v>
      </c>
      <c r="E131" s="638">
        <f>T128</f>
        <v>0</v>
      </c>
      <c r="F131" s="638">
        <f>U128</f>
        <v>0</v>
      </c>
      <c r="G131" s="638">
        <f>W128</f>
        <v>0</v>
      </c>
      <c r="H131" s="93">
        <f>X128</f>
        <v>0</v>
      </c>
      <c r="I131" s="248">
        <f t="shared" si="20"/>
        <v>0</v>
      </c>
      <c r="L131">
        <v>5</v>
      </c>
      <c r="M131" s="677" t="str">
        <f>IF(C139="","",C139)</f>
        <v/>
      </c>
      <c r="N131" s="31">
        <f>D139-S131</f>
        <v>0</v>
      </c>
      <c r="O131" s="31">
        <f>E139-T131</f>
        <v>0</v>
      </c>
      <c r="P131" s="31">
        <f>F139-U131</f>
        <v>0</v>
      </c>
      <c r="Q131" s="31">
        <f>G139-W131</f>
        <v>0</v>
      </c>
      <c r="R131" s="31">
        <f>H139-X131</f>
        <v>0</v>
      </c>
      <c r="S131" s="111">
        <f>IF(D139&gt;25000,25000,D139)</f>
        <v>0</v>
      </c>
      <c r="T131" s="112">
        <f>IF(S131&lt;25000,IF(E139&gt;(25000-S131),25000-S131,E139),0)</f>
        <v>0</v>
      </c>
      <c r="U131" s="112">
        <f>IF(SUM(S131:T131)&lt;25000,IF(F139&gt;(25000-SUM(S131:T131)),25000-SUM(S131:T131),F139),0)</f>
        <v>0</v>
      </c>
      <c r="V131" s="112"/>
      <c r="W131" s="112">
        <f>IF(SUM(S131:U131)&lt;25000,IF(G139&gt;(25000-SUM(S131:U131)),25000-SUM(S131:U131),G139),0)</f>
        <v>0</v>
      </c>
      <c r="X131" s="11">
        <f>IF(SUM(S131:W131)&lt;25000,IF(H139&gt;(25000-SUM(S131:W131)),25000-SUM(S131:W131),H139),0)</f>
        <v>0</v>
      </c>
    </row>
    <row r="132" spans="1:24" ht="12.95" customHeight="1" thickBot="1">
      <c r="A132" s="159">
        <v>60270</v>
      </c>
      <c r="B132" s="249"/>
      <c r="C132" s="110" t="s">
        <v>592</v>
      </c>
      <c r="D132" s="99">
        <f>D130-D131</f>
        <v>0</v>
      </c>
      <c r="E132" s="100">
        <f>E130-E131</f>
        <v>0</v>
      </c>
      <c r="F132" s="100">
        <f>F130-F131</f>
        <v>0</v>
      </c>
      <c r="G132" s="100">
        <f>G130-G131</f>
        <v>0</v>
      </c>
      <c r="H132" s="99">
        <f>H130-H131</f>
        <v>0</v>
      </c>
      <c r="I132" s="250">
        <f t="shared" si="20"/>
        <v>0</v>
      </c>
      <c r="L132">
        <v>6</v>
      </c>
      <c r="M132" s="677" t="str">
        <f>IF(C142="","",C142)</f>
        <v/>
      </c>
      <c r="N132" s="31">
        <f>D142-S132</f>
        <v>0</v>
      </c>
      <c r="O132" s="31">
        <f>E142-T132</f>
        <v>0</v>
      </c>
      <c r="P132" s="31">
        <f>F142-U132</f>
        <v>0</v>
      </c>
      <c r="Q132" s="31">
        <f>G142-W132</f>
        <v>0</v>
      </c>
      <c r="R132" s="31">
        <f>H142-X132</f>
        <v>0</v>
      </c>
      <c r="S132" s="111">
        <f>IF(D142&gt;25000,25000,D142)</f>
        <v>0</v>
      </c>
      <c r="T132" s="112">
        <f>IF(S132&lt;25000,IF(E142&gt;(25000-S132),25000-S132,E142),0)</f>
        <v>0</v>
      </c>
      <c r="U132" s="112">
        <f>IF(SUM(S132:T132)&lt;25000,IF(F142&gt;(25000-SUM(S132:T132)),25000-SUM(S132:T132),F142),0)</f>
        <v>0</v>
      </c>
      <c r="V132" s="112"/>
      <c r="W132" s="112">
        <f>IF(SUM(S132:U132)&lt;25000,IF(G142&gt;(25000-SUM(S132:U132)),25000-SUM(S132:U132),G142),0)</f>
        <v>0</v>
      </c>
      <c r="X132" s="11">
        <f>IF(SUM(S132:W132)&lt;25000,IF(H142&gt;(25000-SUM(S132:W132)),25000-SUM(S132:W132),H142),0)</f>
        <v>0</v>
      </c>
    </row>
    <row r="133" spans="1:24" ht="12.95" customHeight="1">
      <c r="A133" s="156"/>
      <c r="B133" s="505" t="s">
        <v>594</v>
      </c>
      <c r="C133" s="101"/>
      <c r="D133" s="97"/>
      <c r="E133" s="98"/>
      <c r="F133" s="98"/>
      <c r="G133" s="98"/>
      <c r="H133" s="97"/>
      <c r="I133" s="245">
        <f t="shared" si="20"/>
        <v>0</v>
      </c>
      <c r="L133">
        <v>7</v>
      </c>
      <c r="M133" s="677" t="str">
        <f>IF(C145="","",C145)</f>
        <v/>
      </c>
      <c r="N133" s="31">
        <f>D145-S133</f>
        <v>0</v>
      </c>
      <c r="O133" s="31">
        <f>E145-T133</f>
        <v>0</v>
      </c>
      <c r="P133" s="31">
        <f>F145-U133</f>
        <v>0</v>
      </c>
      <c r="Q133" s="31">
        <f>G145-W133</f>
        <v>0</v>
      </c>
      <c r="R133" s="31">
        <f>H145-X133</f>
        <v>0</v>
      </c>
      <c r="S133" s="111">
        <f>IF(D145&gt;25000,25000,D145)</f>
        <v>0</v>
      </c>
      <c r="T133" s="112">
        <f>IF(S133&lt;25000,IF(E145&gt;(25000-S133),25000-S133,E145),0)</f>
        <v>0</v>
      </c>
      <c r="U133" s="112">
        <f>IF(SUM(S133:T133)&lt;25000,IF(F145&gt;(25000-SUM(S133:T133)),25000-SUM(S133:T133),F145),0)</f>
        <v>0</v>
      </c>
      <c r="V133" s="112"/>
      <c r="W133" s="112">
        <f>IF(SUM(S133:U133)&lt;25000,IF(G145&gt;(25000-SUM(S133:U133)),25000-SUM(S133:U133),G145),0)</f>
        <v>0</v>
      </c>
      <c r="X133" s="11">
        <f>IF(SUM(S133:W133)&lt;25000,IF(H145&gt;(25000-SUM(S133:W133)),25000-SUM(S133:W133),H145),0)</f>
        <v>0</v>
      </c>
    </row>
    <row r="134" spans="1:24" ht="12.95" customHeight="1">
      <c r="A134" s="158">
        <v>60250</v>
      </c>
      <c r="B134" s="247"/>
      <c r="C134" s="109" t="s">
        <v>591</v>
      </c>
      <c r="D134" s="93">
        <f>S129</f>
        <v>0</v>
      </c>
      <c r="E134" s="638">
        <f>T129</f>
        <v>0</v>
      </c>
      <c r="F134" s="638">
        <f>U129</f>
        <v>0</v>
      </c>
      <c r="G134" s="638">
        <f>W129</f>
        <v>0</v>
      </c>
      <c r="H134" s="93">
        <f>X129</f>
        <v>0</v>
      </c>
      <c r="I134" s="248">
        <f t="shared" si="20"/>
        <v>0</v>
      </c>
      <c r="L134">
        <v>8</v>
      </c>
      <c r="M134" s="677" t="str">
        <f>IF(C148="","",C148)</f>
        <v/>
      </c>
      <c r="N134" s="31">
        <f>D148-S134</f>
        <v>0</v>
      </c>
      <c r="O134" s="31">
        <f>E148-T134</f>
        <v>0</v>
      </c>
      <c r="P134" s="31">
        <f>F148-U134</f>
        <v>0</v>
      </c>
      <c r="Q134" s="31">
        <f>G148-W134</f>
        <v>0</v>
      </c>
      <c r="R134" s="31">
        <f>H148-X134</f>
        <v>0</v>
      </c>
      <c r="S134" s="111">
        <f>IF(D148&gt;25000,25000,D148)</f>
        <v>0</v>
      </c>
      <c r="T134" s="112">
        <f>IF(S134&lt;25000,IF(E148&gt;(25000-S134),25000-S134,E148),0)</f>
        <v>0</v>
      </c>
      <c r="U134" s="112">
        <f>IF(SUM(S134:T134)&lt;25000,IF(F148&gt;(25000-SUM(S134:T134)),25000-SUM(S134:T134),F148),0)</f>
        <v>0</v>
      </c>
      <c r="V134" s="112"/>
      <c r="W134" s="112">
        <f>IF(SUM(S134:U134)&lt;25000,IF(G148&gt;(25000-SUM(S134:U134)),25000-SUM(S134:U134),G148),0)</f>
        <v>0</v>
      </c>
      <c r="X134" s="11">
        <f>IF(SUM(S134:W134)&lt;25000,IF(H148&gt;(25000-SUM(S134:W134)),25000-SUM(S134:W134),H148),0)</f>
        <v>0</v>
      </c>
    </row>
    <row r="135" spans="1:24" ht="12.95" customHeight="1" thickBot="1">
      <c r="A135" s="159">
        <v>60270</v>
      </c>
      <c r="B135" s="249"/>
      <c r="C135" s="110" t="s">
        <v>592</v>
      </c>
      <c r="D135" s="99">
        <f>D133-D134</f>
        <v>0</v>
      </c>
      <c r="E135" s="100">
        <f>E133-E134</f>
        <v>0</v>
      </c>
      <c r="F135" s="100">
        <f>F133-F134</f>
        <v>0</v>
      </c>
      <c r="G135" s="100">
        <f>G133-G134</f>
        <v>0</v>
      </c>
      <c r="H135" s="99">
        <f>H133-H134</f>
        <v>0</v>
      </c>
      <c r="I135" s="250">
        <f t="shared" si="20"/>
        <v>0</v>
      </c>
      <c r="L135">
        <v>9</v>
      </c>
      <c r="M135" s="677" t="str">
        <f>IF(C151="","",C151)</f>
        <v/>
      </c>
      <c r="N135" s="31">
        <f>D151-S135</f>
        <v>0</v>
      </c>
      <c r="O135" s="31">
        <f>E151-T135</f>
        <v>0</v>
      </c>
      <c r="P135" s="31">
        <f>F151-U135</f>
        <v>0</v>
      </c>
      <c r="Q135" s="31">
        <f>G151-W135</f>
        <v>0</v>
      </c>
      <c r="R135" s="31">
        <f>H151-X135</f>
        <v>0</v>
      </c>
      <c r="S135" s="111">
        <f>IF(D151&gt;25000,25000,D151)</f>
        <v>0</v>
      </c>
      <c r="T135" s="112">
        <f>IF(S135&lt;25000,IF(E151&gt;(25000-S135),25000-S135,E151),0)</f>
        <v>0</v>
      </c>
      <c r="U135" s="112">
        <f>IF(SUM(S135:T135)&lt;25000,IF(F151&gt;(25000-SUM(S135:T135)),25000-SUM(S135:T135),F151),0)</f>
        <v>0</v>
      </c>
      <c r="V135" s="112"/>
      <c r="W135" s="112">
        <f>IF(SUM(S135:U135)&lt;25000,IF(G151&gt;(25000-SUM(S135:U135)),25000-SUM(S135:U135),G151),0)</f>
        <v>0</v>
      </c>
      <c r="X135" s="11">
        <f>IF(SUM(S135:W135)&lt;25000,IF(H151&gt;(25000-SUM(S135:W135)),25000-SUM(S135:W135),H151),0)</f>
        <v>0</v>
      </c>
    </row>
    <row r="136" spans="1:24" ht="12.95" customHeight="1">
      <c r="A136" s="156"/>
      <c r="B136" s="505" t="s">
        <v>595</v>
      </c>
      <c r="C136" s="101"/>
      <c r="D136" s="97"/>
      <c r="E136" s="98"/>
      <c r="F136" s="98"/>
      <c r="G136" s="98"/>
      <c r="H136" s="97"/>
      <c r="I136" s="245">
        <f t="shared" si="20"/>
        <v>0</v>
      </c>
      <c r="L136">
        <v>10</v>
      </c>
      <c r="M136" s="246" t="str">
        <f>IF(C154="","",C154)</f>
        <v/>
      </c>
      <c r="N136" s="31">
        <f>D154-S136</f>
        <v>0</v>
      </c>
      <c r="O136" s="31">
        <f>E154-T136</f>
        <v>0</v>
      </c>
      <c r="P136" s="31">
        <f>F154-U136</f>
        <v>0</v>
      </c>
      <c r="Q136" s="31">
        <f>G154-W136</f>
        <v>0</v>
      </c>
      <c r="R136" s="31">
        <f>H154-X136</f>
        <v>0</v>
      </c>
      <c r="S136" s="111">
        <f>IF(D154&gt;25000,25000,D154)</f>
        <v>0</v>
      </c>
      <c r="T136" s="112">
        <f>IF(S136&lt;25000,IF(E154&gt;(25000-S136),25000-S136,E154),0)</f>
        <v>0</v>
      </c>
      <c r="U136" s="112">
        <f>IF(SUM(S136:T136)&lt;25000,IF(F154&gt;(25000-SUM(S136:T136)),25000-SUM(S136:T136),F154),0)</f>
        <v>0</v>
      </c>
      <c r="V136" s="112"/>
      <c r="W136" s="112">
        <f>IF(SUM(S136:U136)&lt;25000,IF(G154&gt;(25000-SUM(S136:U136)),25000-SUM(S136:U136),G154),0)</f>
        <v>0</v>
      </c>
      <c r="X136" s="11">
        <f>IF(SUM(S136:W136)&lt;25000,IF(H154&gt;(25000-SUM(S136:W136)),25000-SUM(S136:W136),H154),0)</f>
        <v>0</v>
      </c>
    </row>
    <row r="137" spans="1:24" ht="12.95" customHeight="1">
      <c r="A137" s="158">
        <v>60250</v>
      </c>
      <c r="B137" s="247"/>
      <c r="C137" s="109" t="s">
        <v>591</v>
      </c>
      <c r="D137" s="93">
        <f>S130</f>
        <v>0</v>
      </c>
      <c r="E137" s="638">
        <f>T130</f>
        <v>0</v>
      </c>
      <c r="F137" s="638">
        <f>U130</f>
        <v>0</v>
      </c>
      <c r="G137" s="638">
        <f>W130</f>
        <v>0</v>
      </c>
      <c r="H137" s="93">
        <f>X130</f>
        <v>0</v>
      </c>
      <c r="I137" s="248">
        <f t="shared" si="20"/>
        <v>0</v>
      </c>
      <c r="L137">
        <v>11</v>
      </c>
      <c r="M137" s="246" t="str">
        <f>IF(C157="","",C157)</f>
        <v/>
      </c>
      <c r="N137" s="31">
        <f>D157-S137</f>
        <v>0</v>
      </c>
      <c r="O137" s="31">
        <f>E157-T137</f>
        <v>0</v>
      </c>
      <c r="P137" s="31">
        <f>F157-U137</f>
        <v>0</v>
      </c>
      <c r="Q137" s="31">
        <f>G157-W137</f>
        <v>0</v>
      </c>
      <c r="R137" s="31">
        <f>H157-X137</f>
        <v>0</v>
      </c>
      <c r="S137" s="111">
        <f>IF(D157&gt;25000,25000,D157)</f>
        <v>0</v>
      </c>
      <c r="T137" s="112">
        <f>IF(S137&lt;25000,IF(E157&gt;(25000-S137),25000-S137,E157),0)</f>
        <v>0</v>
      </c>
      <c r="U137" s="112">
        <f>IF(SUM(S137:T137)&lt;25000,IF(F157&gt;(25000-SUM(S137:T137)),25000-SUM(S137:T137),F157),0)</f>
        <v>0</v>
      </c>
      <c r="V137" s="112"/>
      <c r="W137" s="112">
        <f>IF(SUM(S137:U137)&lt;25000,IF(G157&gt;(25000-SUM(S137:U137)),25000-SUM(S137:U137),G157),0)</f>
        <v>0</v>
      </c>
      <c r="X137" s="11">
        <f>IF(SUM(S137:W137)&lt;25000,IF(H157&gt;(25000-SUM(S137:W137)),25000-SUM(S137:W137),H157),0)</f>
        <v>0</v>
      </c>
    </row>
    <row r="138" spans="1:24" ht="12.95" customHeight="1" thickBot="1">
      <c r="A138" s="159">
        <v>60270</v>
      </c>
      <c r="B138" s="249"/>
      <c r="C138" s="110" t="s">
        <v>592</v>
      </c>
      <c r="D138" s="99">
        <f>D136-D137</f>
        <v>0</v>
      </c>
      <c r="E138" s="100">
        <f>E136-E137</f>
        <v>0</v>
      </c>
      <c r="F138" s="100">
        <f>F136-F137</f>
        <v>0</v>
      </c>
      <c r="G138" s="100">
        <f>G136-G137</f>
        <v>0</v>
      </c>
      <c r="H138" s="99">
        <f>H136-H137</f>
        <v>0</v>
      </c>
      <c r="I138" s="250">
        <f t="shared" si="20"/>
        <v>0</v>
      </c>
      <c r="L138">
        <v>12</v>
      </c>
      <c r="M138" s="246" t="str">
        <f>IF(C160="","",C160)</f>
        <v/>
      </c>
      <c r="N138" s="31">
        <f>D160-S138</f>
        <v>0</v>
      </c>
      <c r="O138" s="31">
        <f>E160-T138</f>
        <v>0</v>
      </c>
      <c r="P138" s="31">
        <f>F160-U138</f>
        <v>0</v>
      </c>
      <c r="Q138" s="31">
        <f>G160-W138</f>
        <v>0</v>
      </c>
      <c r="R138" s="31">
        <f>H160-X138</f>
        <v>0</v>
      </c>
      <c r="S138" s="111">
        <f>IF(D160&gt;25000,25000,D160)</f>
        <v>0</v>
      </c>
      <c r="T138" s="112">
        <f>IF(S138&lt;25000,IF(E160&gt;(25000-S138),25000-S138,E160),0)</f>
        <v>0</v>
      </c>
      <c r="U138" s="112">
        <f>IF(SUM(S138:T138)&lt;25000,IF(F160&gt;(25000-SUM(S138:T138)),25000-SUM(S138:T138),F160),0)</f>
        <v>0</v>
      </c>
      <c r="V138" s="112"/>
      <c r="W138" s="112">
        <f>IF(SUM(S138:U138)&lt;25000,IF(G160&gt;(25000-SUM(S138:U138)),25000-SUM(S138:U138),G160),0)</f>
        <v>0</v>
      </c>
      <c r="X138" s="11">
        <f>IF(SUM(S138:W138)&lt;25000,IF(H160&gt;(25000-SUM(S138:W138)),25000-SUM(S138:W138),H160),0)</f>
        <v>0</v>
      </c>
    </row>
    <row r="139" spans="1:24" ht="12.95" customHeight="1">
      <c r="A139" s="156"/>
      <c r="B139" s="505" t="s">
        <v>596</v>
      </c>
      <c r="C139" s="101"/>
      <c r="D139" s="97"/>
      <c r="E139" s="98"/>
      <c r="F139" s="98"/>
      <c r="G139" s="98"/>
      <c r="H139" s="97"/>
      <c r="I139" s="245">
        <f t="shared" si="20"/>
        <v>0</v>
      </c>
      <c r="L139">
        <v>13</v>
      </c>
      <c r="M139" s="246" t="str">
        <f>IF(C163="","",C163)</f>
        <v/>
      </c>
      <c r="N139" s="31">
        <f>D163-S139</f>
        <v>0</v>
      </c>
      <c r="O139" s="31">
        <f>E163-T139</f>
        <v>0</v>
      </c>
      <c r="P139" s="31">
        <f>F163-U139</f>
        <v>0</v>
      </c>
      <c r="Q139" s="31">
        <f>G163-W139</f>
        <v>0</v>
      </c>
      <c r="R139" s="31">
        <f>H163-X139</f>
        <v>0</v>
      </c>
      <c r="S139" s="111">
        <f>IF(D163&gt;25000,25000,D163)</f>
        <v>0</v>
      </c>
      <c r="T139" s="112">
        <f>IF(S139&lt;25000,IF(E163&gt;(25000-S139),25000-S139,E163),0)</f>
        <v>0</v>
      </c>
      <c r="U139" s="112">
        <f>IF(SUM(S139:T139)&lt;25000,IF(F163&gt;(25000-SUM(S139:T139)),25000-SUM(S139:T139),F163),0)</f>
        <v>0</v>
      </c>
      <c r="V139" s="112"/>
      <c r="W139" s="112">
        <f>IF(SUM(S139:U139)&lt;25000,IF(G163&gt;(25000-SUM(S139:U139)),25000-SUM(S139:U139),G163),0)</f>
        <v>0</v>
      </c>
      <c r="X139" s="11">
        <f>IF(SUM(S139:W139)&lt;25000,IF(H163&gt;(25000-SUM(S139:W139)),25000-SUM(S139:W139),H163),0)</f>
        <v>0</v>
      </c>
    </row>
    <row r="140" spans="1:24" ht="12.95" customHeight="1">
      <c r="A140" s="158">
        <v>60250</v>
      </c>
      <c r="B140" s="247"/>
      <c r="C140" s="109" t="s">
        <v>591</v>
      </c>
      <c r="D140" s="93">
        <f>S131</f>
        <v>0</v>
      </c>
      <c r="E140" s="638">
        <f>T131</f>
        <v>0</v>
      </c>
      <c r="F140" s="638">
        <f>U131</f>
        <v>0</v>
      </c>
      <c r="G140" s="638">
        <f>W131</f>
        <v>0</v>
      </c>
      <c r="H140" s="93">
        <f>X131</f>
        <v>0</v>
      </c>
      <c r="I140" s="248">
        <f t="shared" si="20"/>
        <v>0</v>
      </c>
      <c r="L140">
        <v>14</v>
      </c>
      <c r="M140" s="246" t="str">
        <f>IF(C166="","",C166)</f>
        <v/>
      </c>
      <c r="N140" s="31">
        <f>D166-S140</f>
        <v>0</v>
      </c>
      <c r="O140" s="31">
        <f>E166-T140</f>
        <v>0</v>
      </c>
      <c r="P140" s="31">
        <f>F166-U140</f>
        <v>0</v>
      </c>
      <c r="Q140" s="31">
        <f>G166-W140</f>
        <v>0</v>
      </c>
      <c r="R140" s="31">
        <f>H166-X140</f>
        <v>0</v>
      </c>
      <c r="S140" s="111">
        <f>IF(D166&gt;25000,25000,D166)</f>
        <v>0</v>
      </c>
      <c r="T140" s="112">
        <f>IF(S140&lt;25000,IF(E166&gt;(25000-S140),25000-S140,E166),0)</f>
        <v>0</v>
      </c>
      <c r="U140" s="112">
        <f>IF(SUM(S140:T140)&lt;25000,IF(F166&gt;(25000-SUM(S140:T140)),25000-SUM(S140:T140),F166),0)</f>
        <v>0</v>
      </c>
      <c r="V140" s="112"/>
      <c r="W140" s="112">
        <f>IF(SUM(S140:U140)&lt;25000,IF(G166&gt;(25000-SUM(S140:U140)),25000-SUM(S140:U140),G166),0)</f>
        <v>0</v>
      </c>
      <c r="X140" s="11">
        <f>IF(SUM(S140:W140)&lt;25000,IF(H166&gt;(25000-SUM(S140:W140)),25000-SUM(S140:W140),H166),0)</f>
        <v>0</v>
      </c>
    </row>
    <row r="141" spans="1:24" ht="12.95" customHeight="1" thickBot="1">
      <c r="A141" s="159">
        <v>60270</v>
      </c>
      <c r="B141" s="249"/>
      <c r="C141" s="110" t="s">
        <v>592</v>
      </c>
      <c r="D141" s="99">
        <f>D139-D140</f>
        <v>0</v>
      </c>
      <c r="E141" s="100">
        <f>E139-E140</f>
        <v>0</v>
      </c>
      <c r="F141" s="100">
        <f>F139-F140</f>
        <v>0</v>
      </c>
      <c r="G141" s="100">
        <f>G139-G140</f>
        <v>0</v>
      </c>
      <c r="H141" s="99">
        <f>H139-H140</f>
        <v>0</v>
      </c>
      <c r="I141" s="250">
        <f t="shared" si="20"/>
        <v>0</v>
      </c>
      <c r="L141">
        <v>15</v>
      </c>
      <c r="M141" s="246" t="str">
        <f>IF(C169="","",C169)</f>
        <v/>
      </c>
      <c r="N141" s="31">
        <f>D169-S141</f>
        <v>0</v>
      </c>
      <c r="O141" s="31">
        <f>E169-T141</f>
        <v>0</v>
      </c>
      <c r="P141" s="31">
        <f>F169-U141</f>
        <v>0</v>
      </c>
      <c r="Q141" s="31">
        <f>G169-W141</f>
        <v>0</v>
      </c>
      <c r="R141" s="31">
        <f>H169-X141</f>
        <v>0</v>
      </c>
      <c r="S141" s="111">
        <f>IF(D169&gt;25000,25000,D169)</f>
        <v>0</v>
      </c>
      <c r="T141" s="112">
        <f>IF(S141&lt;25000,IF(E169&gt;(25000-S141),25000-S141,E169),0)</f>
        <v>0</v>
      </c>
      <c r="U141" s="112">
        <f>IF(SUM(S141:T141)&lt;25000,IF(F169&gt;(25000-SUM(S141:T141)),25000-SUM(S141:T141),F169),0)</f>
        <v>0</v>
      </c>
      <c r="V141" s="112"/>
      <c r="W141" s="112">
        <f>IF(SUM(S141:U141)&lt;25000,IF(G169&gt;(25000-SUM(S141:U141)),25000-SUM(S141:U141),G169),0)</f>
        <v>0</v>
      </c>
      <c r="X141" s="11">
        <f>IF(SUM(S141:W141)&lt;25000,IF(H169&gt;(25000-SUM(S141:W141)),25000-SUM(S141:W141),H169),0)</f>
        <v>0</v>
      </c>
    </row>
    <row r="142" spans="1:24" ht="12.95" customHeight="1">
      <c r="A142" s="156"/>
      <c r="B142" s="505" t="s">
        <v>597</v>
      </c>
      <c r="C142" s="101"/>
      <c r="D142" s="97"/>
      <c r="E142" s="98"/>
      <c r="F142" s="98"/>
      <c r="G142" s="103"/>
      <c r="H142" s="97"/>
      <c r="I142" s="245">
        <f t="shared" si="20"/>
        <v>0</v>
      </c>
      <c r="L142">
        <v>16</v>
      </c>
      <c r="M142" s="246" t="str">
        <f>IF(C172="","",C172)</f>
        <v/>
      </c>
      <c r="N142" s="31">
        <f>D172-S142</f>
        <v>0</v>
      </c>
      <c r="O142" s="31">
        <f>E172-T142</f>
        <v>0</v>
      </c>
      <c r="P142" s="31">
        <f>F172-U142</f>
        <v>0</v>
      </c>
      <c r="Q142" s="31">
        <f>G172-W142</f>
        <v>0</v>
      </c>
      <c r="R142" s="31">
        <f>H172-X142</f>
        <v>0</v>
      </c>
      <c r="S142" s="111">
        <f>IF(D172&gt;25000,25000,D172)</f>
        <v>0</v>
      </c>
      <c r="T142" s="112">
        <f>IF(S142&lt;25000,IF(E172&gt;(25000-S142),25000-S142,E172),0)</f>
        <v>0</v>
      </c>
      <c r="U142" s="112">
        <f>IF(SUM(S142:T142)&lt;25000,IF(F172&gt;(25000-SUM(S142:T142)),25000-SUM(S142:T142),F172),0)</f>
        <v>0</v>
      </c>
      <c r="V142" s="112"/>
      <c r="W142" s="112">
        <f>IF(SUM(S142:U142)&lt;25000,IF(G172&gt;(25000-SUM(S142:U142)),25000-SUM(S142:U142),G172),0)</f>
        <v>0</v>
      </c>
      <c r="X142" s="11">
        <f>IF(SUM(S142:W142)&lt;25000,IF(H172&gt;(25000-SUM(S142:W142)),25000-SUM(S142:W142),H172),0)</f>
        <v>0</v>
      </c>
    </row>
    <row r="143" spans="1:24" ht="12.95" customHeight="1">
      <c r="A143" s="158">
        <v>60250</v>
      </c>
      <c r="B143" s="247"/>
      <c r="C143" s="109" t="s">
        <v>591</v>
      </c>
      <c r="D143" s="93">
        <f>S132</f>
        <v>0</v>
      </c>
      <c r="E143" s="638">
        <f>T132</f>
        <v>0</v>
      </c>
      <c r="F143" s="638">
        <f>U132</f>
        <v>0</v>
      </c>
      <c r="G143" s="678">
        <f>W132</f>
        <v>0</v>
      </c>
      <c r="H143" s="93">
        <f>X132</f>
        <v>0</v>
      </c>
      <c r="I143" s="248">
        <f t="shared" si="20"/>
        <v>0</v>
      </c>
      <c r="L143">
        <v>17</v>
      </c>
      <c r="M143" s="246" t="str">
        <f>IF(C175="","",C175)</f>
        <v/>
      </c>
      <c r="N143" s="31">
        <f>D175-S143</f>
        <v>0</v>
      </c>
      <c r="O143" s="31">
        <f>E175-T143</f>
        <v>0</v>
      </c>
      <c r="P143" s="31">
        <f>F175-U143</f>
        <v>0</v>
      </c>
      <c r="Q143" s="31">
        <f>G175-W143</f>
        <v>0</v>
      </c>
      <c r="R143" s="31">
        <f>H175-X143</f>
        <v>0</v>
      </c>
      <c r="S143" s="111">
        <f>IF(D175&gt;25000,25000,D175)</f>
        <v>0</v>
      </c>
      <c r="T143" s="112">
        <f>IF(S143&lt;25000,IF(E175&gt;(25000-S143),25000-S143,E175),0)</f>
        <v>0</v>
      </c>
      <c r="U143" s="112">
        <f>IF(SUM(S143:T143)&lt;25000,IF(F175&gt;(25000-SUM(S143:T143)),25000-SUM(S143:T143),F175),0)</f>
        <v>0</v>
      </c>
      <c r="V143" s="112"/>
      <c r="W143" s="112">
        <f>IF(SUM(S143:U143)&lt;25000,IF(G175&gt;(25000-SUM(S143:U143)),25000-SUM(S143:U143),G175),0)</f>
        <v>0</v>
      </c>
      <c r="X143" s="11">
        <f>IF(SUM(S143:W143)&lt;25000,IF(H175&gt;(25000-SUM(S143:W143)),25000-SUM(S143:W143),H175),0)</f>
        <v>0</v>
      </c>
    </row>
    <row r="144" spans="1:24" ht="12.95" customHeight="1" thickBot="1">
      <c r="A144" s="159">
        <v>60270</v>
      </c>
      <c r="B144" s="249"/>
      <c r="C144" s="110" t="s">
        <v>592</v>
      </c>
      <c r="D144" s="99">
        <f>D142-D143</f>
        <v>0</v>
      </c>
      <c r="E144" s="100">
        <f>E142-E143</f>
        <v>0</v>
      </c>
      <c r="F144" s="100">
        <f>F142-F143</f>
        <v>0</v>
      </c>
      <c r="G144" s="104">
        <f>G142-G143</f>
        <v>0</v>
      </c>
      <c r="H144" s="99">
        <f>H142-H143</f>
        <v>0</v>
      </c>
      <c r="I144" s="250">
        <f t="shared" si="20"/>
        <v>0</v>
      </c>
      <c r="L144">
        <v>18</v>
      </c>
      <c r="M144" s="246" t="str">
        <f>IF(C178="","",C178)</f>
        <v/>
      </c>
      <c r="N144" s="31">
        <f>D178-S144</f>
        <v>0</v>
      </c>
      <c r="O144" s="31">
        <f>E178-T144</f>
        <v>0</v>
      </c>
      <c r="P144" s="31">
        <f>F178-U144</f>
        <v>0</v>
      </c>
      <c r="Q144" s="31">
        <f>G178-W144</f>
        <v>0</v>
      </c>
      <c r="R144" s="31">
        <f>H178-X144</f>
        <v>0</v>
      </c>
      <c r="S144" s="111">
        <f>IF(D178&gt;25000,25000,D178)</f>
        <v>0</v>
      </c>
      <c r="T144" s="112">
        <f>IF(S144&lt;25000,IF(E178&gt;(25000-S144),25000-S144,E178),0)</f>
        <v>0</v>
      </c>
      <c r="U144" s="112">
        <f>IF(SUM(S144:T144)&lt;25000,IF(F178&gt;(25000-SUM(S144:T144)),25000-SUM(S144:T144),F178),0)</f>
        <v>0</v>
      </c>
      <c r="V144" s="112"/>
      <c r="W144" s="112">
        <f>IF(SUM(S144:U144)&lt;25000,IF(G178&gt;(25000-SUM(S144:U144)),25000-SUM(S144:U144),G178),0)</f>
        <v>0</v>
      </c>
      <c r="X144" s="11">
        <f>IF(SUM(S144:W144)&lt;25000,IF(H178&gt;(25000-SUM(S144:W144)),25000-SUM(S144:W144),H178),0)</f>
        <v>0</v>
      </c>
    </row>
    <row r="145" spans="1:24" ht="12.95" customHeight="1">
      <c r="A145" s="156"/>
      <c r="B145" s="505" t="s">
        <v>598</v>
      </c>
      <c r="C145" s="101"/>
      <c r="D145" s="97"/>
      <c r="E145" s="98"/>
      <c r="F145" s="98"/>
      <c r="G145" s="98"/>
      <c r="H145" s="97"/>
      <c r="I145" s="245">
        <f t="shared" si="20"/>
        <v>0</v>
      </c>
      <c r="L145">
        <v>19</v>
      </c>
      <c r="M145" s="246" t="str">
        <f>IF(C181="","",C181)</f>
        <v/>
      </c>
      <c r="N145" s="31">
        <f>D181-S145</f>
        <v>0</v>
      </c>
      <c r="O145" s="31">
        <f>E181-T145</f>
        <v>0</v>
      </c>
      <c r="P145" s="31">
        <f>F181-U145</f>
        <v>0</v>
      </c>
      <c r="Q145" s="31">
        <f>G181-W145</f>
        <v>0</v>
      </c>
      <c r="R145" s="31">
        <f>H181-X145</f>
        <v>0</v>
      </c>
      <c r="S145" s="111">
        <f>IF(D181&gt;25000,25000,D181)</f>
        <v>0</v>
      </c>
      <c r="T145" s="112">
        <f>IF(S145&lt;25000,IF(E181&gt;(25000-S145),25000-S145,E181),0)</f>
        <v>0</v>
      </c>
      <c r="U145" s="112">
        <f>IF(SUM(S145:T145)&lt;25000,IF(F181&gt;(25000-SUM(S145:T145)),25000-SUM(S145:T145),F181),0)</f>
        <v>0</v>
      </c>
      <c r="V145" s="112"/>
      <c r="W145" s="112">
        <f>IF(SUM(S145:U145)&lt;25000,IF(G181&gt;(25000-SUM(S145:U145)),25000-SUM(S145:U145),G181),0)</f>
        <v>0</v>
      </c>
      <c r="X145" s="11">
        <f>IF(SUM(S145:W145)&lt;25000,IF(H181&gt;(25000-SUM(S145:W145)),25000-SUM(S145:W145),H181),0)</f>
        <v>0</v>
      </c>
    </row>
    <row r="146" spans="1:24" ht="12.95" customHeight="1">
      <c r="A146" s="158">
        <v>60250</v>
      </c>
      <c r="B146" s="247"/>
      <c r="C146" s="109" t="s">
        <v>591</v>
      </c>
      <c r="D146" s="93">
        <f>S133</f>
        <v>0</v>
      </c>
      <c r="E146" s="638">
        <f>T133</f>
        <v>0</v>
      </c>
      <c r="F146" s="638">
        <f>U133</f>
        <v>0</v>
      </c>
      <c r="G146" s="638">
        <f>W133</f>
        <v>0</v>
      </c>
      <c r="H146" s="93">
        <f>X133</f>
        <v>0</v>
      </c>
      <c r="I146" s="248">
        <f t="shared" si="20"/>
        <v>0</v>
      </c>
      <c r="L146">
        <v>20</v>
      </c>
      <c r="M146" s="246" t="str">
        <f>IF(C184="","",C184)</f>
        <v/>
      </c>
      <c r="N146" s="31">
        <f>D184-S146</f>
        <v>0</v>
      </c>
      <c r="O146" s="31">
        <f>E184-T146</f>
        <v>0</v>
      </c>
      <c r="P146" s="31">
        <f>F184-U146</f>
        <v>0</v>
      </c>
      <c r="Q146" s="31">
        <f>G184-W146</f>
        <v>0</v>
      </c>
      <c r="R146" s="31">
        <f>H184-X146</f>
        <v>0</v>
      </c>
      <c r="S146" s="111">
        <f>IF(D184&gt;25000,25000,D184)</f>
        <v>0</v>
      </c>
      <c r="T146" s="112">
        <f>IF(S146&lt;25000,IF(E184&gt;(25000-S146),25000-S146,E184),0)</f>
        <v>0</v>
      </c>
      <c r="U146" s="112">
        <f>IF(SUM(S146:T146)&lt;25000,IF(F184&gt;(25000-SUM(S146:T146)),25000-SUM(S146:T146),F184),0)</f>
        <v>0</v>
      </c>
      <c r="V146" s="112"/>
      <c r="W146" s="112">
        <f>IF(SUM(S146:U146)&lt;25000,IF(G184&gt;(25000-SUM(S146:U146)),25000-SUM(S146:U146),G184),0)</f>
        <v>0</v>
      </c>
      <c r="X146" s="11">
        <f>IF(SUM(S146:W146)&lt;25000,IF(H184&gt;(25000-SUM(S146:W146)),25000-SUM(S146:W146),H184),0)</f>
        <v>0</v>
      </c>
    </row>
    <row r="147" spans="1:24" ht="12.95" customHeight="1" thickBot="1">
      <c r="A147" s="159">
        <v>60270</v>
      </c>
      <c r="B147" s="249"/>
      <c r="C147" s="110" t="s">
        <v>592</v>
      </c>
      <c r="D147" s="99">
        <f>D145-D146</f>
        <v>0</v>
      </c>
      <c r="E147" s="100">
        <f>E145-E146</f>
        <v>0</v>
      </c>
      <c r="F147" s="100">
        <f>F145-F146</f>
        <v>0</v>
      </c>
      <c r="G147" s="100">
        <f>G145-G146</f>
        <v>0</v>
      </c>
      <c r="H147" s="99">
        <f>H145-H146</f>
        <v>0</v>
      </c>
      <c r="I147" s="250">
        <f t="shared" si="20"/>
        <v>0</v>
      </c>
      <c r="M147" s="252" t="s">
        <v>599</v>
      </c>
      <c r="N147" s="93">
        <f t="shared" ref="N147:X147" si="21">SUM(N127:N146)</f>
        <v>0</v>
      </c>
      <c r="O147" s="253">
        <f t="shared" si="21"/>
        <v>0</v>
      </c>
      <c r="P147" s="253">
        <f t="shared" si="21"/>
        <v>0</v>
      </c>
      <c r="Q147" s="253">
        <f t="shared" si="21"/>
        <v>0</v>
      </c>
      <c r="R147" s="253">
        <f t="shared" si="21"/>
        <v>0</v>
      </c>
      <c r="S147" s="93">
        <f t="shared" si="21"/>
        <v>0</v>
      </c>
      <c r="T147" s="253">
        <f t="shared" si="21"/>
        <v>0</v>
      </c>
      <c r="U147" s="253">
        <f t="shared" si="21"/>
        <v>0</v>
      </c>
      <c r="V147" s="253"/>
      <c r="W147" s="253">
        <f t="shared" si="21"/>
        <v>0</v>
      </c>
      <c r="X147" s="254">
        <f t="shared" si="21"/>
        <v>0</v>
      </c>
    </row>
    <row r="148" spans="1:24" ht="12.95" customHeight="1">
      <c r="A148" s="156"/>
      <c r="B148" s="505" t="s">
        <v>600</v>
      </c>
      <c r="C148" s="101"/>
      <c r="D148" s="97"/>
      <c r="E148" s="98"/>
      <c r="F148" s="98"/>
      <c r="G148" s="98"/>
      <c r="H148" s="97"/>
      <c r="I148" s="245">
        <f t="shared" si="20"/>
        <v>0</v>
      </c>
    </row>
    <row r="149" spans="1:24" ht="12.95" customHeight="1">
      <c r="A149" s="158">
        <v>60250</v>
      </c>
      <c r="B149" s="247"/>
      <c r="C149" s="109" t="s">
        <v>591</v>
      </c>
      <c r="D149" s="93">
        <f>S134</f>
        <v>0</v>
      </c>
      <c r="E149" s="638">
        <f>T134</f>
        <v>0</v>
      </c>
      <c r="F149" s="638">
        <f>U134</f>
        <v>0</v>
      </c>
      <c r="G149" s="638">
        <f>W134</f>
        <v>0</v>
      </c>
      <c r="H149" s="93">
        <f>X134</f>
        <v>0</v>
      </c>
      <c r="I149" s="248">
        <f t="shared" si="20"/>
        <v>0</v>
      </c>
    </row>
    <row r="150" spans="1:24" ht="12.95" customHeight="1" thickBot="1">
      <c r="A150" s="159">
        <v>60270</v>
      </c>
      <c r="B150" s="249"/>
      <c r="C150" s="110" t="s">
        <v>592</v>
      </c>
      <c r="D150" s="99">
        <f>D148-D149</f>
        <v>0</v>
      </c>
      <c r="E150" s="100">
        <f>E148-E149</f>
        <v>0</v>
      </c>
      <c r="F150" s="100">
        <f>F148-F149</f>
        <v>0</v>
      </c>
      <c r="G150" s="100">
        <f>G148-G149</f>
        <v>0</v>
      </c>
      <c r="H150" s="99">
        <f>H148-H149</f>
        <v>0</v>
      </c>
      <c r="I150" s="250">
        <f t="shared" si="20"/>
        <v>0</v>
      </c>
    </row>
    <row r="151" spans="1:24" ht="12.95" customHeight="1">
      <c r="A151" s="156"/>
      <c r="B151" s="505" t="s">
        <v>601</v>
      </c>
      <c r="C151" s="101"/>
      <c r="D151" s="97"/>
      <c r="E151" s="98"/>
      <c r="F151" s="98"/>
      <c r="G151" s="98"/>
      <c r="H151" s="97"/>
      <c r="I151" s="245">
        <f t="shared" si="20"/>
        <v>0</v>
      </c>
    </row>
    <row r="152" spans="1:24" ht="12.95" customHeight="1">
      <c r="A152" s="158">
        <v>60250</v>
      </c>
      <c r="B152" s="247"/>
      <c r="C152" s="109" t="s">
        <v>591</v>
      </c>
      <c r="D152" s="93">
        <f>S135</f>
        <v>0</v>
      </c>
      <c r="E152" s="638">
        <f>T135</f>
        <v>0</v>
      </c>
      <c r="F152" s="638">
        <f>U135</f>
        <v>0</v>
      </c>
      <c r="G152" s="638">
        <f>W135</f>
        <v>0</v>
      </c>
      <c r="H152" s="93">
        <f>X135</f>
        <v>0</v>
      </c>
      <c r="I152" s="248">
        <f t="shared" si="20"/>
        <v>0</v>
      </c>
    </row>
    <row r="153" spans="1:24" ht="12.95" customHeight="1" thickBot="1">
      <c r="A153" s="159">
        <v>60270</v>
      </c>
      <c r="B153" s="249"/>
      <c r="C153" s="110" t="s">
        <v>592</v>
      </c>
      <c r="D153" s="99">
        <f>D151-D152</f>
        <v>0</v>
      </c>
      <c r="E153" s="100">
        <f>E151-E152</f>
        <v>0</v>
      </c>
      <c r="F153" s="100">
        <f>F151-F152</f>
        <v>0</v>
      </c>
      <c r="G153" s="100">
        <f>G151-G152</f>
        <v>0</v>
      </c>
      <c r="H153" s="99">
        <f>H151-H152</f>
        <v>0</v>
      </c>
      <c r="I153" s="250">
        <f t="shared" si="20"/>
        <v>0</v>
      </c>
    </row>
    <row r="154" spans="1:24" ht="12.95" customHeight="1">
      <c r="A154" s="156"/>
      <c r="B154" s="507">
        <v>10</v>
      </c>
      <c r="C154" s="101"/>
      <c r="D154" s="97"/>
      <c r="E154" s="98"/>
      <c r="F154" s="98"/>
      <c r="G154" s="98"/>
      <c r="H154" s="97"/>
      <c r="I154" s="245">
        <f t="shared" si="20"/>
        <v>0</v>
      </c>
    </row>
    <row r="155" spans="1:24" ht="12.95" customHeight="1">
      <c r="A155" s="158">
        <v>60250</v>
      </c>
      <c r="B155" s="148"/>
      <c r="C155" s="109" t="s">
        <v>591</v>
      </c>
      <c r="D155" s="93">
        <f>S136</f>
        <v>0</v>
      </c>
      <c r="E155" s="638">
        <f>T136</f>
        <v>0</v>
      </c>
      <c r="F155" s="638">
        <f>U136</f>
        <v>0</v>
      </c>
      <c r="G155" s="638">
        <f>W136</f>
        <v>0</v>
      </c>
      <c r="H155" s="93">
        <f>X136</f>
        <v>0</v>
      </c>
      <c r="I155" s="248">
        <f t="shared" si="20"/>
        <v>0</v>
      </c>
    </row>
    <row r="156" spans="1:24" ht="12.95" customHeight="1" thickBot="1">
      <c r="A156" s="159">
        <v>60270</v>
      </c>
      <c r="B156" s="255"/>
      <c r="C156" s="110" t="s">
        <v>592</v>
      </c>
      <c r="D156" s="99">
        <f>D154-D155</f>
        <v>0</v>
      </c>
      <c r="E156" s="100">
        <f>E154-E155</f>
        <v>0</v>
      </c>
      <c r="F156" s="100">
        <f>F154-F155</f>
        <v>0</v>
      </c>
      <c r="G156" s="100">
        <f>G154-G155</f>
        <v>0</v>
      </c>
      <c r="H156" s="99">
        <f>H154-H155</f>
        <v>0</v>
      </c>
      <c r="I156" s="250">
        <f t="shared" si="20"/>
        <v>0</v>
      </c>
    </row>
    <row r="157" spans="1:24" ht="12.95" customHeight="1">
      <c r="A157" s="156"/>
      <c r="B157" s="507">
        <v>11</v>
      </c>
      <c r="C157" s="101"/>
      <c r="D157" s="97"/>
      <c r="E157" s="98"/>
      <c r="F157" s="98"/>
      <c r="G157" s="98"/>
      <c r="H157" s="97"/>
      <c r="I157" s="245">
        <f t="shared" ref="I157:I186" si="22">SUM(D157:H157)</f>
        <v>0</v>
      </c>
      <c r="K157" s="135"/>
      <c r="M157" s="256"/>
      <c r="N157" s="256"/>
      <c r="O157" s="256"/>
      <c r="P157" s="256"/>
      <c r="Q157" s="256"/>
      <c r="R157" s="256"/>
      <c r="S157" s="256"/>
      <c r="T157" s="256"/>
      <c r="U157" s="256"/>
      <c r="V157" s="256"/>
      <c r="W157" s="256"/>
      <c r="X157" s="256"/>
    </row>
    <row r="158" spans="1:24">
      <c r="A158" s="158">
        <v>60250</v>
      </c>
      <c r="B158" s="148"/>
      <c r="C158" s="109" t="s">
        <v>591</v>
      </c>
      <c r="D158" s="93">
        <f>S137</f>
        <v>0</v>
      </c>
      <c r="E158" s="638">
        <f>T137</f>
        <v>0</v>
      </c>
      <c r="F158" s="638">
        <f>U137</f>
        <v>0</v>
      </c>
      <c r="G158" s="638">
        <f>W137</f>
        <v>0</v>
      </c>
      <c r="H158" s="93">
        <f>X137</f>
        <v>0</v>
      </c>
      <c r="I158" s="248">
        <f t="shared" si="22"/>
        <v>0</v>
      </c>
    </row>
    <row r="159" spans="1:24" ht="13.5" thickBot="1">
      <c r="A159" s="159">
        <v>60270</v>
      </c>
      <c r="B159" s="255"/>
      <c r="C159" s="110" t="s">
        <v>592</v>
      </c>
      <c r="D159" s="99">
        <f>D157-D158</f>
        <v>0</v>
      </c>
      <c r="E159" s="100">
        <f>E157-E158</f>
        <v>0</v>
      </c>
      <c r="F159" s="100">
        <f>F157-F158</f>
        <v>0</v>
      </c>
      <c r="G159" s="100">
        <f>G157-G158</f>
        <v>0</v>
      </c>
      <c r="H159" s="99">
        <f>H157-H158</f>
        <v>0</v>
      </c>
      <c r="I159" s="250">
        <f t="shared" si="22"/>
        <v>0</v>
      </c>
    </row>
    <row r="160" spans="1:24">
      <c r="A160" s="156"/>
      <c r="B160" s="507">
        <v>12</v>
      </c>
      <c r="C160" s="101"/>
      <c r="D160" s="97"/>
      <c r="E160" s="98"/>
      <c r="F160" s="98"/>
      <c r="G160" s="98"/>
      <c r="H160" s="97"/>
      <c r="I160" s="245">
        <f t="shared" si="22"/>
        <v>0</v>
      </c>
    </row>
    <row r="161" spans="1:9">
      <c r="A161" s="158">
        <v>60250</v>
      </c>
      <c r="B161" s="148"/>
      <c r="C161" s="109" t="s">
        <v>591</v>
      </c>
      <c r="D161" s="93">
        <f>S138</f>
        <v>0</v>
      </c>
      <c r="E161" s="638">
        <f>T138</f>
        <v>0</v>
      </c>
      <c r="F161" s="638">
        <f>U138</f>
        <v>0</v>
      </c>
      <c r="G161" s="638">
        <f>W138</f>
        <v>0</v>
      </c>
      <c r="H161" s="93">
        <f>X138</f>
        <v>0</v>
      </c>
      <c r="I161" s="248">
        <f t="shared" si="22"/>
        <v>0</v>
      </c>
    </row>
    <row r="162" spans="1:9" ht="13.5" thickBot="1">
      <c r="A162" s="159">
        <v>60270</v>
      </c>
      <c r="B162" s="255"/>
      <c r="C162" s="110" t="s">
        <v>592</v>
      </c>
      <c r="D162" s="99">
        <f>D160-D161</f>
        <v>0</v>
      </c>
      <c r="E162" s="100">
        <f>E160-E161</f>
        <v>0</v>
      </c>
      <c r="F162" s="100">
        <f>F160-F161</f>
        <v>0</v>
      </c>
      <c r="G162" s="100">
        <f>G160-G161</f>
        <v>0</v>
      </c>
      <c r="H162" s="99">
        <f>H160-H161</f>
        <v>0</v>
      </c>
      <c r="I162" s="250">
        <f t="shared" si="22"/>
        <v>0</v>
      </c>
    </row>
    <row r="163" spans="1:9">
      <c r="A163" s="156"/>
      <c r="B163" s="507">
        <v>13</v>
      </c>
      <c r="C163" s="101"/>
      <c r="D163" s="97"/>
      <c r="E163" s="98"/>
      <c r="F163" s="98"/>
      <c r="G163" s="98"/>
      <c r="H163" s="97"/>
      <c r="I163" s="245">
        <f t="shared" si="22"/>
        <v>0</v>
      </c>
    </row>
    <row r="164" spans="1:9">
      <c r="A164" s="158">
        <v>60250</v>
      </c>
      <c r="B164" s="148"/>
      <c r="C164" s="109" t="s">
        <v>591</v>
      </c>
      <c r="D164" s="93">
        <f>S139</f>
        <v>0</v>
      </c>
      <c r="E164" s="638">
        <f>T139</f>
        <v>0</v>
      </c>
      <c r="F164" s="638">
        <f>U139</f>
        <v>0</v>
      </c>
      <c r="G164" s="638">
        <f>W139</f>
        <v>0</v>
      </c>
      <c r="H164" s="93">
        <f>X139</f>
        <v>0</v>
      </c>
      <c r="I164" s="248">
        <f t="shared" si="22"/>
        <v>0</v>
      </c>
    </row>
    <row r="165" spans="1:9" ht="13.5" thickBot="1">
      <c r="A165" s="159">
        <v>60270</v>
      </c>
      <c r="B165" s="255"/>
      <c r="C165" s="110" t="s">
        <v>592</v>
      </c>
      <c r="D165" s="99">
        <f>D163-D164</f>
        <v>0</v>
      </c>
      <c r="E165" s="100">
        <f>E163-E164</f>
        <v>0</v>
      </c>
      <c r="F165" s="100">
        <f>F163-F164</f>
        <v>0</v>
      </c>
      <c r="G165" s="100">
        <f>G163-G164</f>
        <v>0</v>
      </c>
      <c r="H165" s="99">
        <f>H163-H164</f>
        <v>0</v>
      </c>
      <c r="I165" s="250">
        <f t="shared" si="22"/>
        <v>0</v>
      </c>
    </row>
    <row r="166" spans="1:9">
      <c r="A166" s="156"/>
      <c r="B166" s="507">
        <v>14</v>
      </c>
      <c r="C166" s="101"/>
      <c r="D166" s="97"/>
      <c r="E166" s="98"/>
      <c r="F166" s="98"/>
      <c r="G166" s="98"/>
      <c r="H166" s="97"/>
      <c r="I166" s="245">
        <f t="shared" si="22"/>
        <v>0</v>
      </c>
    </row>
    <row r="167" spans="1:9">
      <c r="A167" s="158">
        <v>60250</v>
      </c>
      <c r="B167" s="148"/>
      <c r="C167" s="109" t="s">
        <v>591</v>
      </c>
      <c r="D167" s="93">
        <f>S140</f>
        <v>0</v>
      </c>
      <c r="E167" s="638">
        <f>T140</f>
        <v>0</v>
      </c>
      <c r="F167" s="638">
        <f>U140</f>
        <v>0</v>
      </c>
      <c r="G167" s="638">
        <f>W140</f>
        <v>0</v>
      </c>
      <c r="H167" s="93">
        <f>X140</f>
        <v>0</v>
      </c>
      <c r="I167" s="248">
        <f t="shared" si="22"/>
        <v>0</v>
      </c>
    </row>
    <row r="168" spans="1:9" ht="13.5" thickBot="1">
      <c r="A168" s="159">
        <v>60270</v>
      </c>
      <c r="B168" s="255"/>
      <c r="C168" s="110" t="s">
        <v>592</v>
      </c>
      <c r="D168" s="99">
        <f>D166-D167</f>
        <v>0</v>
      </c>
      <c r="E168" s="100">
        <f>E166-E167</f>
        <v>0</v>
      </c>
      <c r="F168" s="100">
        <f>F166-F167</f>
        <v>0</v>
      </c>
      <c r="G168" s="100">
        <f>G166-G167</f>
        <v>0</v>
      </c>
      <c r="H168" s="99">
        <f>H166-H167</f>
        <v>0</v>
      </c>
      <c r="I168" s="250">
        <f t="shared" si="22"/>
        <v>0</v>
      </c>
    </row>
    <row r="169" spans="1:9">
      <c r="A169" s="156"/>
      <c r="B169" s="507">
        <v>15</v>
      </c>
      <c r="C169" s="101"/>
      <c r="D169" s="97"/>
      <c r="E169" s="98"/>
      <c r="F169" s="98"/>
      <c r="G169" s="98"/>
      <c r="H169" s="97"/>
      <c r="I169" s="245">
        <f t="shared" si="22"/>
        <v>0</v>
      </c>
    </row>
    <row r="170" spans="1:9">
      <c r="A170" s="158">
        <v>60250</v>
      </c>
      <c r="B170" s="148"/>
      <c r="C170" s="109" t="s">
        <v>591</v>
      </c>
      <c r="D170" s="93">
        <f>S141</f>
        <v>0</v>
      </c>
      <c r="E170" s="638">
        <f>T141</f>
        <v>0</v>
      </c>
      <c r="F170" s="638">
        <f>U141</f>
        <v>0</v>
      </c>
      <c r="G170" s="638">
        <f>W141</f>
        <v>0</v>
      </c>
      <c r="H170" s="93">
        <f>X141</f>
        <v>0</v>
      </c>
      <c r="I170" s="248">
        <f t="shared" si="22"/>
        <v>0</v>
      </c>
    </row>
    <row r="171" spans="1:9" ht="13.5" thickBot="1">
      <c r="A171" s="159">
        <v>60270</v>
      </c>
      <c r="B171" s="255"/>
      <c r="C171" s="110" t="s">
        <v>592</v>
      </c>
      <c r="D171" s="99">
        <f>D169-D170</f>
        <v>0</v>
      </c>
      <c r="E171" s="100">
        <f>E169-E170</f>
        <v>0</v>
      </c>
      <c r="F171" s="100">
        <f>F169-F170</f>
        <v>0</v>
      </c>
      <c r="G171" s="100">
        <f>G169-G170</f>
        <v>0</v>
      </c>
      <c r="H171" s="99">
        <f>H169-H170</f>
        <v>0</v>
      </c>
      <c r="I171" s="250">
        <f t="shared" si="22"/>
        <v>0</v>
      </c>
    </row>
    <row r="172" spans="1:9">
      <c r="A172" s="156"/>
      <c r="B172" s="507">
        <v>16</v>
      </c>
      <c r="C172" s="101"/>
      <c r="D172" s="97"/>
      <c r="E172" s="98"/>
      <c r="F172" s="98"/>
      <c r="G172" s="98"/>
      <c r="H172" s="97"/>
      <c r="I172" s="245">
        <f t="shared" si="22"/>
        <v>0</v>
      </c>
    </row>
    <row r="173" spans="1:9">
      <c r="A173" s="158">
        <v>60250</v>
      </c>
      <c r="B173" s="148"/>
      <c r="C173" s="109" t="s">
        <v>591</v>
      </c>
      <c r="D173" s="93">
        <f>S142</f>
        <v>0</v>
      </c>
      <c r="E173" s="638">
        <f>T142</f>
        <v>0</v>
      </c>
      <c r="F173" s="638">
        <f>U142</f>
        <v>0</v>
      </c>
      <c r="G173" s="638">
        <f>W142</f>
        <v>0</v>
      </c>
      <c r="H173" s="93">
        <f>X142</f>
        <v>0</v>
      </c>
      <c r="I173" s="248">
        <f t="shared" si="22"/>
        <v>0</v>
      </c>
    </row>
    <row r="174" spans="1:9" ht="13.5" thickBot="1">
      <c r="A174" s="159">
        <v>60270</v>
      </c>
      <c r="B174" s="255"/>
      <c r="C174" s="110" t="s">
        <v>592</v>
      </c>
      <c r="D174" s="99">
        <f>D172-D173</f>
        <v>0</v>
      </c>
      <c r="E174" s="100">
        <f>E172-E173</f>
        <v>0</v>
      </c>
      <c r="F174" s="100">
        <f>F172-F173</f>
        <v>0</v>
      </c>
      <c r="G174" s="100">
        <f>G172-G173</f>
        <v>0</v>
      </c>
      <c r="H174" s="99">
        <f>H172-H173</f>
        <v>0</v>
      </c>
      <c r="I174" s="250">
        <f t="shared" si="22"/>
        <v>0</v>
      </c>
    </row>
    <row r="175" spans="1:9">
      <c r="A175" s="156"/>
      <c r="B175" s="507">
        <v>17</v>
      </c>
      <c r="C175" s="101"/>
      <c r="D175" s="97"/>
      <c r="E175" s="98"/>
      <c r="F175" s="98"/>
      <c r="G175" s="98"/>
      <c r="H175" s="97"/>
      <c r="I175" s="245">
        <f t="shared" si="22"/>
        <v>0</v>
      </c>
    </row>
    <row r="176" spans="1:9">
      <c r="A176" s="158">
        <v>60250</v>
      </c>
      <c r="B176" s="148"/>
      <c r="C176" s="109" t="s">
        <v>591</v>
      </c>
      <c r="D176" s="93">
        <f>S143</f>
        <v>0</v>
      </c>
      <c r="E176" s="638">
        <f>T143</f>
        <v>0</v>
      </c>
      <c r="F176" s="638">
        <f>U143</f>
        <v>0</v>
      </c>
      <c r="G176" s="638">
        <f>W143</f>
        <v>0</v>
      </c>
      <c r="H176" s="93">
        <f>X143</f>
        <v>0</v>
      </c>
      <c r="I176" s="248">
        <f t="shared" si="22"/>
        <v>0</v>
      </c>
    </row>
    <row r="177" spans="1:24" s="256" customFormat="1" ht="13.5" thickBot="1">
      <c r="A177" s="159">
        <v>60270</v>
      </c>
      <c r="B177" s="255"/>
      <c r="C177" s="110" t="s">
        <v>592</v>
      </c>
      <c r="D177" s="99">
        <f>D175-D176</f>
        <v>0</v>
      </c>
      <c r="E177" s="100">
        <f>E175-E176</f>
        <v>0</v>
      </c>
      <c r="F177" s="100">
        <f>F175-F176</f>
        <v>0</v>
      </c>
      <c r="G177" s="100">
        <f>G175-G176</f>
        <v>0</v>
      </c>
      <c r="H177" s="99">
        <f>H175-H176</f>
        <v>0</v>
      </c>
      <c r="I177" s="250">
        <f t="shared" si="22"/>
        <v>0</v>
      </c>
      <c r="J177" s="209"/>
      <c r="M177"/>
      <c r="N177"/>
      <c r="O177"/>
      <c r="P177"/>
      <c r="Q177"/>
      <c r="R177"/>
      <c r="S177"/>
      <c r="T177"/>
      <c r="U177"/>
      <c r="V177"/>
      <c r="W177"/>
      <c r="X177"/>
    </row>
    <row r="178" spans="1:24">
      <c r="A178" s="156"/>
      <c r="B178" s="507">
        <v>18</v>
      </c>
      <c r="C178" s="101"/>
      <c r="D178" s="97"/>
      <c r="E178" s="98"/>
      <c r="F178" s="98"/>
      <c r="G178" s="98"/>
      <c r="H178" s="97"/>
      <c r="I178" s="245">
        <f t="shared" si="22"/>
        <v>0</v>
      </c>
    </row>
    <row r="179" spans="1:24">
      <c r="A179" s="158">
        <v>60250</v>
      </c>
      <c r="B179" s="148"/>
      <c r="C179" s="109" t="s">
        <v>591</v>
      </c>
      <c r="D179" s="93">
        <f>S144</f>
        <v>0</v>
      </c>
      <c r="E179" s="638">
        <f>T144</f>
        <v>0</v>
      </c>
      <c r="F179" s="638">
        <f>U144</f>
        <v>0</v>
      </c>
      <c r="G179" s="638">
        <f>W144</f>
        <v>0</v>
      </c>
      <c r="H179" s="93">
        <f>X144</f>
        <v>0</v>
      </c>
      <c r="I179" s="248">
        <f t="shared" si="22"/>
        <v>0</v>
      </c>
    </row>
    <row r="180" spans="1:24" ht="13.5" thickBot="1">
      <c r="A180" s="159">
        <v>60270</v>
      </c>
      <c r="B180" s="255"/>
      <c r="C180" s="110" t="s">
        <v>592</v>
      </c>
      <c r="D180" s="99">
        <f>D178-D179</f>
        <v>0</v>
      </c>
      <c r="E180" s="100">
        <f>E178-E179</f>
        <v>0</v>
      </c>
      <c r="F180" s="100">
        <f>F178-F179</f>
        <v>0</v>
      </c>
      <c r="G180" s="100">
        <f>G178-G179</f>
        <v>0</v>
      </c>
      <c r="H180" s="99">
        <f>H178-H179</f>
        <v>0</v>
      </c>
      <c r="I180" s="250">
        <f t="shared" si="22"/>
        <v>0</v>
      </c>
    </row>
    <row r="181" spans="1:24">
      <c r="A181" s="156"/>
      <c r="B181" s="507">
        <v>19</v>
      </c>
      <c r="C181" s="101"/>
      <c r="D181" s="97"/>
      <c r="E181" s="98"/>
      <c r="F181" s="98"/>
      <c r="G181" s="98"/>
      <c r="H181" s="97"/>
      <c r="I181" s="245">
        <f t="shared" si="22"/>
        <v>0</v>
      </c>
    </row>
    <row r="182" spans="1:24">
      <c r="A182" s="158">
        <v>60250</v>
      </c>
      <c r="B182" s="148"/>
      <c r="C182" s="109" t="s">
        <v>591</v>
      </c>
      <c r="D182" s="93">
        <f>S145</f>
        <v>0</v>
      </c>
      <c r="E182" s="638">
        <f>T145</f>
        <v>0</v>
      </c>
      <c r="F182" s="638">
        <f>U145</f>
        <v>0</v>
      </c>
      <c r="G182" s="638">
        <f>W145</f>
        <v>0</v>
      </c>
      <c r="H182" s="93">
        <f>X145</f>
        <v>0</v>
      </c>
      <c r="I182" s="248">
        <f t="shared" si="22"/>
        <v>0</v>
      </c>
    </row>
    <row r="183" spans="1:24" ht="13.5" thickBot="1">
      <c r="A183" s="159">
        <v>60270</v>
      </c>
      <c r="B183" s="255"/>
      <c r="C183" s="110" t="s">
        <v>592</v>
      </c>
      <c r="D183" s="99">
        <f>D181-D182</f>
        <v>0</v>
      </c>
      <c r="E183" s="100">
        <f>E181-E182</f>
        <v>0</v>
      </c>
      <c r="F183" s="100">
        <f>F181-F182</f>
        <v>0</v>
      </c>
      <c r="G183" s="100">
        <f>G181-G182</f>
        <v>0</v>
      </c>
      <c r="H183" s="99">
        <f>H181-H182</f>
        <v>0</v>
      </c>
      <c r="I183" s="250">
        <f t="shared" si="22"/>
        <v>0</v>
      </c>
    </row>
    <row r="184" spans="1:24">
      <c r="A184" s="156"/>
      <c r="B184" s="507">
        <v>20</v>
      </c>
      <c r="C184" s="101"/>
      <c r="D184" s="97"/>
      <c r="E184" s="98"/>
      <c r="F184" s="98"/>
      <c r="G184" s="98"/>
      <c r="H184" s="97"/>
      <c r="I184" s="245">
        <f t="shared" si="22"/>
        <v>0</v>
      </c>
    </row>
    <row r="185" spans="1:24">
      <c r="A185" s="158">
        <v>60250</v>
      </c>
      <c r="B185" s="148"/>
      <c r="C185" s="109" t="s">
        <v>591</v>
      </c>
      <c r="D185" s="93">
        <f>S146</f>
        <v>0</v>
      </c>
      <c r="E185" s="638">
        <f>T146</f>
        <v>0</v>
      </c>
      <c r="F185" s="638">
        <f>U146</f>
        <v>0</v>
      </c>
      <c r="G185" s="638">
        <f>W146</f>
        <v>0</v>
      </c>
      <c r="H185" s="93">
        <f>X146</f>
        <v>0</v>
      </c>
      <c r="I185" s="248">
        <f t="shared" si="22"/>
        <v>0</v>
      </c>
    </row>
    <row r="186" spans="1:24" ht="13.5" thickBot="1">
      <c r="A186" s="159">
        <v>60270</v>
      </c>
      <c r="B186" s="255"/>
      <c r="C186" s="110" t="s">
        <v>592</v>
      </c>
      <c r="D186" s="99">
        <f>D184-D185</f>
        <v>0</v>
      </c>
      <c r="E186" s="100">
        <f>E184-E185</f>
        <v>0</v>
      </c>
      <c r="F186" s="100">
        <f>F184-F185</f>
        <v>0</v>
      </c>
      <c r="G186" s="100">
        <f>G184-G185</f>
        <v>0</v>
      </c>
      <c r="H186" s="99">
        <f>H184-H185</f>
        <v>0</v>
      </c>
      <c r="I186" s="250">
        <f t="shared" si="22"/>
        <v>0</v>
      </c>
    </row>
    <row r="187" spans="1:24" ht="13.5" thickBot="1">
      <c r="A187" s="160"/>
      <c r="B187" s="767" t="s">
        <v>602</v>
      </c>
      <c r="C187" s="1040"/>
      <c r="D187" s="257">
        <f>D127+D130+D133+D136+D139+D142+D145+D148+D151+D154+D157+D160+D163+D166+D169+D172+D175+D178+D181+D184</f>
        <v>0</v>
      </c>
      <c r="E187" s="257">
        <f>E127+E130+E133+E136+E139+E142+E145+E148+E151+E154+E157+E160+E163+E166+E169+E172+E175+E178+E181+E184</f>
        <v>0</v>
      </c>
      <c r="F187" s="257">
        <f>F127+F130+F133+F136+F139+F142+F145+F148+F151+F154+F157+F160+F163+F166+F169+F172+F175+F178+F181+F184</f>
        <v>0</v>
      </c>
      <c r="G187" s="257">
        <f>G127+G130+G133+G136+G139+G142+G145+G148+G151+G154+G157+G160+G163+G166+G169+G172+G175+G178+G181+G184</f>
        <v>0</v>
      </c>
      <c r="H187" s="258">
        <f>H127+H130+H133+H136+H139+H142+H145+H148+H151+H154+H157+H160+H163+H166+H169+H172+H175+H178+H181+H184</f>
        <v>0</v>
      </c>
      <c r="I187" s="259">
        <f>SUM(D187:H187)</f>
        <v>0</v>
      </c>
    </row>
  </sheetData>
  <sheetProtection algorithmName="SHA-512" hashValue="zD1tQC1Di0z4egnVRCvIyRiYQw4WktIAR3Wm30mwPBfX/qnoY8cqnWTbjHRfGBLZoZB+unMeW2e7R/Ydhw8tEw==" saltValue="yETPIO1wXKsDbc823L3IQQ==" spinCount="100000" sheet="1" objects="1" scenarios="1"/>
  <mergeCells count="101">
    <mergeCell ref="B187:C187"/>
    <mergeCell ref="B68:C68"/>
    <mergeCell ref="G71:G72"/>
    <mergeCell ref="B75:C75"/>
    <mergeCell ref="B78:C78"/>
    <mergeCell ref="B82:C82"/>
    <mergeCell ref="F71:F72"/>
    <mergeCell ref="B83:C83"/>
    <mergeCell ref="B81:C81"/>
    <mergeCell ref="D71:D72"/>
    <mergeCell ref="A71:C72"/>
    <mergeCell ref="B112:C112"/>
    <mergeCell ref="B125:I125"/>
    <mergeCell ref="E71:E72"/>
    <mergeCell ref="B87:C87"/>
    <mergeCell ref="H71:H72"/>
    <mergeCell ref="B74:C74"/>
    <mergeCell ref="B80:C80"/>
    <mergeCell ref="B77:C77"/>
    <mergeCell ref="B126:C126"/>
    <mergeCell ref="B36:C36"/>
    <mergeCell ref="B53:C53"/>
    <mergeCell ref="B54:C54"/>
    <mergeCell ref="B52:C52"/>
    <mergeCell ref="B55:C55"/>
    <mergeCell ref="B56:B62"/>
    <mergeCell ref="B23:C23"/>
    <mergeCell ref="B30:C30"/>
    <mergeCell ref="B31:C31"/>
    <mergeCell ref="B42:C42"/>
    <mergeCell ref="B26:C26"/>
    <mergeCell ref="F2:G2"/>
    <mergeCell ref="H2:I2"/>
    <mergeCell ref="A2:B2"/>
    <mergeCell ref="A3:B3"/>
    <mergeCell ref="D2:E2"/>
    <mergeCell ref="X8:X10"/>
    <mergeCell ref="B12:C12"/>
    <mergeCell ref="K9:L9"/>
    <mergeCell ref="K10:L10"/>
    <mergeCell ref="K11:L11"/>
    <mergeCell ref="H3:I3"/>
    <mergeCell ref="K12:L12"/>
    <mergeCell ref="H5:H6"/>
    <mergeCell ref="H4:I4"/>
    <mergeCell ref="A4:B4"/>
    <mergeCell ref="B5:B6"/>
    <mergeCell ref="D3:E3"/>
    <mergeCell ref="E5:E6"/>
    <mergeCell ref="D5:D6"/>
    <mergeCell ref="A5:A6"/>
    <mergeCell ref="C5:C6"/>
    <mergeCell ref="J2:M3"/>
    <mergeCell ref="S125:X125"/>
    <mergeCell ref="J57:M60"/>
    <mergeCell ref="B113:I113"/>
    <mergeCell ref="K111:M111"/>
    <mergeCell ref="B63:C63"/>
    <mergeCell ref="B76:C76"/>
    <mergeCell ref="B69:C69"/>
    <mergeCell ref="B86:C86"/>
    <mergeCell ref="B84:C84"/>
    <mergeCell ref="I71:I72"/>
    <mergeCell ref="K110:M110"/>
    <mergeCell ref="B105:C105"/>
    <mergeCell ref="B124:C124"/>
    <mergeCell ref="K93:M93"/>
    <mergeCell ref="B114:I114"/>
    <mergeCell ref="K90:M90"/>
    <mergeCell ref="B67:C67"/>
    <mergeCell ref="B64:C64"/>
    <mergeCell ref="B70:C70"/>
    <mergeCell ref="B65:C65"/>
    <mergeCell ref="N125:R125"/>
    <mergeCell ref="K91:M91"/>
    <mergeCell ref="K108:M108"/>
    <mergeCell ref="J61:L61"/>
    <mergeCell ref="K109:M109"/>
    <mergeCell ref="J107:M107"/>
    <mergeCell ref="K92:M92"/>
    <mergeCell ref="M125:M126"/>
    <mergeCell ref="J89:M89"/>
    <mergeCell ref="J39:M39"/>
    <mergeCell ref="A1:C1"/>
    <mergeCell ref="G5:G6"/>
    <mergeCell ref="I5:I6"/>
    <mergeCell ref="K30:M30"/>
    <mergeCell ref="K31:M31"/>
    <mergeCell ref="J4:M6"/>
    <mergeCell ref="K13:L13"/>
    <mergeCell ref="K7:L7"/>
    <mergeCell ref="K8:L8"/>
    <mergeCell ref="J1:M1"/>
    <mergeCell ref="F5:F6"/>
    <mergeCell ref="D1:I1"/>
    <mergeCell ref="K29:M29"/>
    <mergeCell ref="F3:G3"/>
    <mergeCell ref="F4:G4"/>
    <mergeCell ref="J27:M27"/>
    <mergeCell ref="K28:M28"/>
    <mergeCell ref="B13:C13"/>
  </mergeCells>
  <phoneticPr fontId="0" type="noConversion"/>
  <conditionalFormatting sqref="A8">
    <cfRule type="expression" dxfId="579" priority="79" stopIfTrue="1">
      <formula>$AE$8&gt;0</formula>
    </cfRule>
  </conditionalFormatting>
  <conditionalFormatting sqref="A103">
    <cfRule type="expression" dxfId="578" priority="78" stopIfTrue="1">
      <formula>$AE$29&gt;0</formula>
    </cfRule>
  </conditionalFormatting>
  <conditionalFormatting sqref="A9">
    <cfRule type="expression" dxfId="577" priority="77" stopIfTrue="1">
      <formula>$AE$9&gt;0</formula>
    </cfRule>
  </conditionalFormatting>
  <conditionalFormatting sqref="A10">
    <cfRule type="expression" dxfId="576" priority="76" stopIfTrue="1">
      <formula>$AE$10&gt;0</formula>
    </cfRule>
  </conditionalFormatting>
  <conditionalFormatting sqref="A11">
    <cfRule type="expression" dxfId="575" priority="75" stopIfTrue="1">
      <formula>$AE$11&gt;0</formula>
    </cfRule>
  </conditionalFormatting>
  <conditionalFormatting sqref="A89">
    <cfRule type="expression" dxfId="574" priority="70" stopIfTrue="1">
      <formula>$AE$15&gt;0</formula>
    </cfRule>
  </conditionalFormatting>
  <conditionalFormatting sqref="A90">
    <cfRule type="expression" dxfId="573" priority="69" stopIfTrue="1">
      <formula>$AE$16&gt;0</formula>
    </cfRule>
  </conditionalFormatting>
  <conditionalFormatting sqref="A91">
    <cfRule type="expression" dxfId="572" priority="68" stopIfTrue="1">
      <formula>$AE$17&gt;0</formula>
    </cfRule>
  </conditionalFormatting>
  <conditionalFormatting sqref="A92">
    <cfRule type="expression" dxfId="571" priority="67" stopIfTrue="1">
      <formula>$AE$18&gt;0</formula>
    </cfRule>
  </conditionalFormatting>
  <conditionalFormatting sqref="A93">
    <cfRule type="expression" dxfId="570" priority="66" stopIfTrue="1">
      <formula>$AE$19&gt;0</formula>
    </cfRule>
  </conditionalFormatting>
  <conditionalFormatting sqref="A94">
    <cfRule type="expression" dxfId="569" priority="65" stopIfTrue="1">
      <formula>$AE$20&gt;0</formula>
    </cfRule>
  </conditionalFormatting>
  <conditionalFormatting sqref="A95">
    <cfRule type="expression" dxfId="568" priority="64" stopIfTrue="1">
      <formula>$AE$21&gt;0</formula>
    </cfRule>
  </conditionalFormatting>
  <conditionalFormatting sqref="A96">
    <cfRule type="expression" dxfId="567" priority="63" stopIfTrue="1">
      <formula>$AE$22&gt;0</formula>
    </cfRule>
  </conditionalFormatting>
  <conditionalFormatting sqref="A97">
    <cfRule type="expression" dxfId="566" priority="62" stopIfTrue="1">
      <formula>$AE$23&gt;0</formula>
    </cfRule>
  </conditionalFormatting>
  <conditionalFormatting sqref="A98">
    <cfRule type="expression" dxfId="565" priority="61" stopIfTrue="1">
      <formula>$AE$24&gt;0</formula>
    </cfRule>
  </conditionalFormatting>
  <conditionalFormatting sqref="A99">
    <cfRule type="expression" dxfId="564" priority="60" stopIfTrue="1">
      <formula>$AE$25&gt;0</formula>
    </cfRule>
  </conditionalFormatting>
  <conditionalFormatting sqref="A100">
    <cfRule type="expression" dxfId="563" priority="59" stopIfTrue="1">
      <formula>$AE$26&gt;0</formula>
    </cfRule>
  </conditionalFormatting>
  <conditionalFormatting sqref="A101">
    <cfRule type="expression" dxfId="562" priority="58" stopIfTrue="1">
      <formula>$AE$27&gt;0</formula>
    </cfRule>
  </conditionalFormatting>
  <conditionalFormatting sqref="A102">
    <cfRule type="expression" dxfId="561" priority="57" stopIfTrue="1">
      <formula>$AE$28&gt;0</formula>
    </cfRule>
  </conditionalFormatting>
  <conditionalFormatting sqref="A29">
    <cfRule type="expression" dxfId="560" priority="52" stopIfTrue="1">
      <formula>$AE$35&gt;0</formula>
    </cfRule>
  </conditionalFormatting>
  <conditionalFormatting sqref="A107">
    <cfRule type="expression" dxfId="559" priority="50" stopIfTrue="1">
      <formula>$AE$37&gt;0</formula>
    </cfRule>
  </conditionalFormatting>
  <conditionalFormatting sqref="A108">
    <cfRule type="expression" dxfId="558" priority="49" stopIfTrue="1">
      <formula>$AE$38&gt;0</formula>
    </cfRule>
  </conditionalFormatting>
  <conditionalFormatting sqref="A109">
    <cfRule type="expression" dxfId="557" priority="48" stopIfTrue="1">
      <formula>$AE$39&gt;0</formula>
    </cfRule>
  </conditionalFormatting>
  <conditionalFormatting sqref="A115">
    <cfRule type="expression" dxfId="556" priority="40" stopIfTrue="1">
      <formula>$AE$45&gt;0</formula>
    </cfRule>
  </conditionalFormatting>
  <conditionalFormatting sqref="A116">
    <cfRule type="expression" dxfId="555" priority="39" stopIfTrue="1">
      <formula>$AE$46&gt;0</formula>
    </cfRule>
  </conditionalFormatting>
  <conditionalFormatting sqref="A117">
    <cfRule type="expression" dxfId="554" priority="38" stopIfTrue="1">
      <formula>$AE$47&gt;0</formula>
    </cfRule>
  </conditionalFormatting>
  <conditionalFormatting sqref="A110">
    <cfRule type="expression" dxfId="553" priority="28" stopIfTrue="1">
      <formula>$AE$40&gt;0</formula>
    </cfRule>
  </conditionalFormatting>
  <conditionalFormatting sqref="D24:D25">
    <cfRule type="expression" dxfId="552" priority="134" stopIfTrue="1">
      <formula>$Z$31&gt;0</formula>
    </cfRule>
  </conditionalFormatting>
  <conditionalFormatting sqref="A104">
    <cfRule type="expression" dxfId="551" priority="156" stopIfTrue="1">
      <formula>$AE$30&gt;0</formula>
    </cfRule>
  </conditionalFormatting>
  <conditionalFormatting sqref="E24:E25">
    <cfRule type="expression" dxfId="550" priority="157" stopIfTrue="1">
      <formula>$AA$31&gt;0</formula>
    </cfRule>
  </conditionalFormatting>
  <conditionalFormatting sqref="F24:F25">
    <cfRule type="expression" dxfId="549" priority="158" stopIfTrue="1">
      <formula>$AB$31&gt;0</formula>
    </cfRule>
  </conditionalFormatting>
  <conditionalFormatting sqref="G24:G25">
    <cfRule type="expression" dxfId="548" priority="159" stopIfTrue="1">
      <formula>$AC$31&gt;0</formula>
    </cfRule>
  </conditionalFormatting>
  <conditionalFormatting sqref="H24:H25">
    <cfRule type="expression" dxfId="547" priority="160" stopIfTrue="1">
      <formula>$AD$31&gt;0</formula>
    </cfRule>
  </conditionalFormatting>
  <conditionalFormatting sqref="A111 H112">
    <cfRule type="expression" dxfId="546" priority="165" stopIfTrue="1">
      <formula>$AE$41&gt;0</formula>
    </cfRule>
  </conditionalFormatting>
  <conditionalFormatting sqref="D112 D30">
    <cfRule type="expression" dxfId="545" priority="167" stopIfTrue="1">
      <formula>$Z$42&gt;0</formula>
    </cfRule>
  </conditionalFormatting>
  <conditionalFormatting sqref="E112 E30">
    <cfRule type="expression" dxfId="544" priority="168" stopIfTrue="1">
      <formula>$AA$42&gt;0</formula>
    </cfRule>
  </conditionalFormatting>
  <conditionalFormatting sqref="F112 F30">
    <cfRule type="expression" dxfId="543" priority="169" stopIfTrue="1">
      <formula>$AB$42&gt;0</formula>
    </cfRule>
  </conditionalFormatting>
  <conditionalFormatting sqref="G112 G30">
    <cfRule type="expression" dxfId="542" priority="170" stopIfTrue="1">
      <formula>$AC$42&gt;0</formula>
    </cfRule>
  </conditionalFormatting>
  <conditionalFormatting sqref="D124 D51">
    <cfRule type="expression" dxfId="541" priority="180" stopIfTrue="1">
      <formula>$Z$54&gt;0</formula>
    </cfRule>
  </conditionalFormatting>
  <conditionalFormatting sqref="E124 E51">
    <cfRule type="expression" dxfId="540" priority="181" stopIfTrue="1">
      <formula>$AA$54&gt;0</formula>
    </cfRule>
  </conditionalFormatting>
  <conditionalFormatting sqref="F124 F51">
    <cfRule type="expression" dxfId="539" priority="182" stopIfTrue="1">
      <formula>$AB$54&gt;0</formula>
    </cfRule>
  </conditionalFormatting>
  <conditionalFormatting sqref="G124 G51">
    <cfRule type="expression" dxfId="538" priority="183" stopIfTrue="1">
      <formula>$AC$54&gt;0</formula>
    </cfRule>
  </conditionalFormatting>
  <conditionalFormatting sqref="H124 H51">
    <cfRule type="expression" dxfId="537" priority="184" stopIfTrue="1">
      <formula>$AD$54&gt;0</formula>
    </cfRule>
  </conditionalFormatting>
  <conditionalFormatting sqref="A28">
    <cfRule type="expression" dxfId="536" priority="187" stopIfTrue="1">
      <formula>$AE$34&gt;0</formula>
    </cfRule>
  </conditionalFormatting>
  <conditionalFormatting sqref="A12">
    <cfRule type="expression" dxfId="535" priority="193" stopIfTrue="1">
      <formula>SUM($AE$14:$AE$30)&gt;0</formula>
    </cfRule>
  </conditionalFormatting>
  <conditionalFormatting sqref="D105 D12">
    <cfRule type="expression" dxfId="534" priority="24" stopIfTrue="1">
      <formula>$Z$32&gt;0</formula>
    </cfRule>
  </conditionalFormatting>
  <conditionalFormatting sqref="E105 E12">
    <cfRule type="expression" dxfId="533" priority="23" stopIfTrue="1">
      <formula>$AA$32&gt;0</formula>
    </cfRule>
  </conditionalFormatting>
  <conditionalFormatting sqref="F105 F12">
    <cfRule type="expression" dxfId="532" priority="22" stopIfTrue="1">
      <formula>$AB$32&gt;0</formula>
    </cfRule>
  </conditionalFormatting>
  <conditionalFormatting sqref="G105 G12">
    <cfRule type="expression" dxfId="531" priority="21" stopIfTrue="1">
      <formula>$AC$32&gt;0</formula>
    </cfRule>
  </conditionalFormatting>
  <conditionalFormatting sqref="H105 H12">
    <cfRule type="expression" dxfId="530" priority="20" stopIfTrue="1">
      <formula>$AD$32&gt;0</formula>
    </cfRule>
  </conditionalFormatting>
  <conditionalFormatting sqref="H30">
    <cfRule type="expression" dxfId="529" priority="16" stopIfTrue="1">
      <formula>$AD$42&gt;0</formula>
    </cfRule>
  </conditionalFormatting>
  <conditionalFormatting sqref="A30">
    <cfRule type="expression" dxfId="528" priority="10" stopIfTrue="1">
      <formula>$AE$42&gt;0</formula>
    </cfRule>
  </conditionalFormatting>
  <conditionalFormatting sqref="A51">
    <cfRule type="expression" dxfId="527" priority="9" stopIfTrue="1">
      <formula>$AE$54&gt;0</formula>
    </cfRule>
  </conditionalFormatting>
  <conditionalFormatting sqref="A118:A123">
    <cfRule type="expression" dxfId="526" priority="1" stopIfTrue="1">
      <formula>$AE$41&gt;0</formula>
    </cfRule>
  </conditionalFormatting>
  <dataValidations count="1">
    <dataValidation type="list" showInputMessage="1" showErrorMessage="1" errorTitle="Invalid Entry" error="Please select a budget type from the list." promptTitle="Budget Type:" prompt="Please select a budget type from the list." sqref="D2" xr:uid="{00000000-0002-0000-0200-000000000000}">
      <formula1>$Z$7:$Z$13</formula1>
    </dataValidation>
  </dataValidations>
  <printOptions horizontalCentered="1" verticalCentered="1"/>
  <pageMargins left="0.5" right="0.5" top="0.5" bottom="0.5" header="0" footer="0"/>
  <pageSetup scale="60" fitToHeight="0" orientation="portrait" blackAndWhite="1" horizontalDpi="300" verticalDpi="300" r:id="rId1"/>
  <headerFooter alignWithMargins="0"/>
  <rowBreaks count="2" manualBreakCount="2">
    <brk id="70" max="16383" man="1"/>
    <brk id="124" max="16383" man="1"/>
  </rowBreaks>
  <ignoredErrors>
    <ignoredError sqref="H69:H70 D61:H61 I57:I60 D62:H62 D56 I62 E56:H56 G69 F70:G70" unlockedFormula="1"/>
    <ignoredError sqref="B127 B130 B133 B136 B139 B142 B145 B148 B151 J108 J110:J111 J28:J31 J13" numberStoredAsText="1"/>
    <ignoredError sqref="I56 I61"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7"/>
  <sheetViews>
    <sheetView zoomScaleNormal="100" workbookViewId="0">
      <selection sqref="A1:H1"/>
    </sheetView>
  </sheetViews>
  <sheetFormatPr defaultRowHeight="12.75"/>
  <cols>
    <col min="1" max="1" width="11" customWidth="1"/>
    <col min="2" max="2" width="14.5703125" customWidth="1"/>
    <col min="3" max="3" width="24.85546875" customWidth="1"/>
    <col min="4" max="4" width="25.28515625" customWidth="1"/>
    <col min="6" max="6" width="10.85546875" customWidth="1"/>
    <col min="7" max="7" width="12.5703125" customWidth="1"/>
    <col min="8" max="8" width="11.5703125" customWidth="1"/>
    <col min="9" max="9" width="13.85546875" customWidth="1"/>
    <col min="10" max="10" width="15.5703125" customWidth="1"/>
    <col min="11" max="11" width="15.140625" customWidth="1"/>
    <col min="12" max="12" width="14.5703125" customWidth="1"/>
    <col min="13" max="13" width="13.42578125" customWidth="1"/>
    <col min="14" max="14" width="15" customWidth="1"/>
  </cols>
  <sheetData>
    <row r="1" spans="1:14" ht="161.25" customHeight="1">
      <c r="A1" s="836" t="s">
        <v>603</v>
      </c>
      <c r="B1" s="836"/>
      <c r="C1" s="836"/>
      <c r="D1" s="836"/>
      <c r="E1" s="836"/>
      <c r="F1" s="836"/>
      <c r="G1" s="836"/>
      <c r="H1" s="836"/>
      <c r="I1" s="837" t="s">
        <v>604</v>
      </c>
      <c r="J1" s="838"/>
      <c r="K1" s="838"/>
      <c r="L1" s="838"/>
      <c r="M1" s="838"/>
      <c r="N1" s="838"/>
    </row>
    <row r="2" spans="1:14" ht="12.75" customHeight="1">
      <c r="A2" s="839" t="s">
        <v>605</v>
      </c>
      <c r="B2" s="839"/>
      <c r="C2" s="839"/>
      <c r="D2" s="839"/>
      <c r="E2" s="839"/>
      <c r="F2" s="839"/>
      <c r="G2" s="839"/>
      <c r="H2" s="839"/>
      <c r="I2" s="839"/>
      <c r="J2" s="839"/>
      <c r="K2" s="839"/>
      <c r="L2" s="839"/>
      <c r="M2" s="839"/>
      <c r="N2" s="597"/>
    </row>
    <row r="3" spans="1:14" ht="12.75" customHeight="1">
      <c r="A3" s="840"/>
      <c r="B3" s="840"/>
      <c r="C3" s="840"/>
      <c r="D3" s="840"/>
      <c r="E3" s="840"/>
      <c r="F3" s="840"/>
      <c r="G3" s="840"/>
      <c r="H3" s="840"/>
      <c r="I3" s="840"/>
      <c r="J3" s="840"/>
      <c r="K3" s="840"/>
      <c r="L3" s="840"/>
      <c r="M3" s="840"/>
      <c r="N3" s="597"/>
    </row>
    <row r="4" spans="1:14" ht="12.75" customHeight="1">
      <c r="A4" s="560"/>
      <c r="B4" s="562" t="s">
        <v>606</v>
      </c>
      <c r="C4" s="562" t="s">
        <v>607</v>
      </c>
      <c r="D4" s="562" t="s">
        <v>608</v>
      </c>
      <c r="E4" s="562" t="s">
        <v>609</v>
      </c>
      <c r="F4" s="562" t="s">
        <v>610</v>
      </c>
      <c r="G4" s="562" t="s">
        <v>611</v>
      </c>
      <c r="H4" s="562" t="s">
        <v>612</v>
      </c>
      <c r="I4" s="562" t="s">
        <v>448</v>
      </c>
      <c r="J4" s="562" t="s">
        <v>449</v>
      </c>
      <c r="K4" s="562" t="s">
        <v>450</v>
      </c>
      <c r="L4" s="562" t="s">
        <v>451</v>
      </c>
      <c r="M4" s="562" t="s">
        <v>452</v>
      </c>
      <c r="N4" s="597"/>
    </row>
    <row r="5" spans="1:14" ht="12.75" customHeight="1">
      <c r="A5" s="561" t="s">
        <v>613</v>
      </c>
      <c r="B5" s="561" t="s">
        <v>614</v>
      </c>
      <c r="C5" s="561" t="s">
        <v>615</v>
      </c>
      <c r="D5" s="561" t="s">
        <v>616</v>
      </c>
      <c r="E5" s="563">
        <v>5000000</v>
      </c>
      <c r="F5" s="563" t="s">
        <v>617</v>
      </c>
      <c r="G5" s="563" t="s">
        <v>617</v>
      </c>
      <c r="H5" s="564" t="s">
        <v>618</v>
      </c>
      <c r="I5" s="601">
        <v>1000</v>
      </c>
      <c r="J5" s="601">
        <v>1000</v>
      </c>
      <c r="K5" s="601">
        <v>1000</v>
      </c>
      <c r="L5" s="601">
        <v>1000</v>
      </c>
      <c r="M5" s="601">
        <v>1000</v>
      </c>
      <c r="N5" s="597"/>
    </row>
    <row r="6" spans="1:14" ht="12.75" customHeight="1">
      <c r="A6" s="565" t="s">
        <v>619</v>
      </c>
      <c r="B6" s="561" t="s">
        <v>620</v>
      </c>
      <c r="C6" s="561" t="s">
        <v>621</v>
      </c>
      <c r="D6" s="561" t="s">
        <v>622</v>
      </c>
      <c r="E6" s="566">
        <v>5100000</v>
      </c>
      <c r="F6" s="566" t="s">
        <v>617</v>
      </c>
      <c r="G6" s="566" t="s">
        <v>617</v>
      </c>
      <c r="H6" s="563">
        <v>23</v>
      </c>
      <c r="I6" s="601">
        <v>12563</v>
      </c>
      <c r="J6" s="601">
        <v>12562</v>
      </c>
      <c r="K6" s="601">
        <v>12560</v>
      </c>
      <c r="L6" s="601">
        <v>12570</v>
      </c>
      <c r="M6" s="602">
        <v>12569</v>
      </c>
      <c r="N6" s="597"/>
    </row>
    <row r="7" spans="1:14" ht="12.75" customHeight="1">
      <c r="A7" s="595"/>
      <c r="B7" s="595"/>
      <c r="C7" s="595"/>
      <c r="D7" s="595"/>
      <c r="E7" s="595"/>
      <c r="F7" s="595"/>
      <c r="G7" s="595"/>
      <c r="H7" s="595"/>
      <c r="I7" s="596"/>
      <c r="J7" s="597"/>
      <c r="K7" s="597"/>
      <c r="L7" s="597"/>
      <c r="M7" s="597"/>
      <c r="N7" s="597"/>
    </row>
    <row r="8" spans="1:14" ht="48" customHeight="1">
      <c r="A8" s="841" t="s">
        <v>623</v>
      </c>
      <c r="B8" s="841"/>
      <c r="C8" s="841"/>
      <c r="D8" s="841"/>
      <c r="E8" s="841"/>
      <c r="F8" s="841"/>
      <c r="G8" s="841"/>
      <c r="H8" s="841"/>
      <c r="I8" s="841"/>
      <c r="J8" s="841"/>
      <c r="K8" s="841"/>
      <c r="L8" s="841"/>
      <c r="M8" s="841"/>
      <c r="N8" s="841"/>
    </row>
    <row r="9" spans="1:14" ht="14.25">
      <c r="A9" s="589"/>
      <c r="B9" s="590" t="s">
        <v>606</v>
      </c>
      <c r="C9" s="590" t="s">
        <v>607</v>
      </c>
      <c r="D9" s="590" t="s">
        <v>608</v>
      </c>
      <c r="E9" s="590" t="s">
        <v>624</v>
      </c>
      <c r="F9" s="590" t="s">
        <v>610</v>
      </c>
      <c r="G9" s="590" t="s">
        <v>611</v>
      </c>
      <c r="H9" s="590" t="s">
        <v>612</v>
      </c>
      <c r="I9" s="590" t="s">
        <v>448</v>
      </c>
      <c r="J9" s="590" t="s">
        <v>449</v>
      </c>
      <c r="K9" s="590" t="s">
        <v>450</v>
      </c>
      <c r="L9" s="590" t="s">
        <v>451</v>
      </c>
      <c r="M9" s="590" t="s">
        <v>452</v>
      </c>
      <c r="N9" s="591" t="s">
        <v>453</v>
      </c>
    </row>
    <row r="10" spans="1:14">
      <c r="A10" s="592" t="s">
        <v>613</v>
      </c>
      <c r="B10" s="606"/>
      <c r="C10" s="88"/>
      <c r="D10" s="88"/>
      <c r="E10" s="444"/>
      <c r="F10" s="444"/>
      <c r="G10" s="444"/>
      <c r="H10" s="607"/>
      <c r="I10" s="612">
        <f>UMYr1!E53</f>
        <v>0</v>
      </c>
      <c r="J10" s="612">
        <f>UMYr2!E53</f>
        <v>0</v>
      </c>
      <c r="K10" s="612">
        <f>UMYr3!E53</f>
        <v>0</v>
      </c>
      <c r="L10" s="612">
        <f>UMYr4!E53</f>
        <v>0</v>
      </c>
      <c r="M10" s="612">
        <f>UMYr5!E53</f>
        <v>0</v>
      </c>
      <c r="N10" s="613">
        <f>SUM(I10:M10)</f>
        <v>0</v>
      </c>
    </row>
    <row r="11" spans="1:14">
      <c r="A11" s="592" t="s">
        <v>619</v>
      </c>
      <c r="B11" s="606"/>
      <c r="C11" s="88"/>
      <c r="D11" s="88"/>
      <c r="E11" s="444"/>
      <c r="F11" s="444"/>
      <c r="G11" s="444"/>
      <c r="H11" s="607"/>
      <c r="I11" s="612">
        <f>UMYr1!F53</f>
        <v>0</v>
      </c>
      <c r="J11" s="612">
        <f>UMYr2!F53</f>
        <v>0</v>
      </c>
      <c r="K11" s="612">
        <f>UMYr3!F53</f>
        <v>0</v>
      </c>
      <c r="L11" s="612">
        <f>UMYr4!F53</f>
        <v>0</v>
      </c>
      <c r="M11" s="612">
        <f>UMYr5!F53</f>
        <v>0</v>
      </c>
      <c r="N11" s="613">
        <f>SUM(I11:M11)</f>
        <v>0</v>
      </c>
    </row>
    <row r="12" spans="1:14">
      <c r="A12" s="592" t="s">
        <v>625</v>
      </c>
      <c r="B12" s="606"/>
      <c r="C12" s="88"/>
      <c r="D12" s="88"/>
      <c r="E12" s="444"/>
      <c r="F12" s="444"/>
      <c r="G12" s="444"/>
      <c r="H12" s="607"/>
      <c r="I12" s="612">
        <f>UMYr1!G53</f>
        <v>0</v>
      </c>
      <c r="J12" s="612">
        <f>UMYr2!G53</f>
        <v>0</v>
      </c>
      <c r="K12" s="612">
        <f>UMYr3!G53</f>
        <v>0</v>
      </c>
      <c r="L12" s="612">
        <f>UMYr4!G53</f>
        <v>0</v>
      </c>
      <c r="M12" s="612">
        <f>UMYr5!G53</f>
        <v>0</v>
      </c>
      <c r="N12" s="613">
        <f t="shared" ref="N12:N16" si="0">SUM(I12:M12)</f>
        <v>0</v>
      </c>
    </row>
    <row r="13" spans="1:14">
      <c r="A13" s="592" t="s">
        <v>626</v>
      </c>
      <c r="B13" s="606"/>
      <c r="C13" s="88"/>
      <c r="D13" s="88"/>
      <c r="E13" s="444"/>
      <c r="F13" s="444"/>
      <c r="G13" s="444"/>
      <c r="H13" s="607"/>
      <c r="I13" s="612">
        <f>UMYr1!H53</f>
        <v>0</v>
      </c>
      <c r="J13" s="612">
        <f>UMYr2!H53</f>
        <v>0</v>
      </c>
      <c r="K13" s="612">
        <f>UMYr3!H53</f>
        <v>0</v>
      </c>
      <c r="L13" s="612">
        <f>UMYr4!H53</f>
        <v>0</v>
      </c>
      <c r="M13" s="612">
        <f>UMYr5!H53</f>
        <v>0</v>
      </c>
      <c r="N13" s="613">
        <f t="shared" si="0"/>
        <v>0</v>
      </c>
    </row>
    <row r="14" spans="1:14">
      <c r="A14" s="592" t="s">
        <v>627</v>
      </c>
      <c r="B14" s="606"/>
      <c r="C14" s="88"/>
      <c r="D14" s="88"/>
      <c r="E14" s="444"/>
      <c r="F14" s="444"/>
      <c r="G14" s="444"/>
      <c r="H14" s="607"/>
      <c r="I14" s="612">
        <f>UMYr1!I53</f>
        <v>0</v>
      </c>
      <c r="J14" s="612">
        <f>UMYr2!I53</f>
        <v>0</v>
      </c>
      <c r="K14" s="612">
        <f>UMYr3!I53</f>
        <v>0</v>
      </c>
      <c r="L14" s="612">
        <f>UMYr4!I53</f>
        <v>0</v>
      </c>
      <c r="M14" s="612">
        <f>UMYr5!I53</f>
        <v>0</v>
      </c>
      <c r="N14" s="613">
        <f t="shared" si="0"/>
        <v>0</v>
      </c>
    </row>
    <row r="15" spans="1:14">
      <c r="A15" s="593" t="s">
        <v>628</v>
      </c>
      <c r="B15" s="583"/>
      <c r="C15" s="608" t="s">
        <v>617</v>
      </c>
      <c r="D15" s="584"/>
      <c r="E15" s="585"/>
      <c r="F15" s="585"/>
      <c r="G15" s="585"/>
      <c r="H15" s="585"/>
      <c r="I15" s="612">
        <f>UMYr1!L53</f>
        <v>0</v>
      </c>
      <c r="J15" s="612">
        <f>UMYr2!L53</f>
        <v>0</v>
      </c>
      <c r="K15" s="612">
        <f>UMYr3!L53</f>
        <v>0</v>
      </c>
      <c r="L15" s="612">
        <f>UMYr4!L53</f>
        <v>0</v>
      </c>
      <c r="M15" s="612">
        <f>UMYr5!L53</f>
        <v>0</v>
      </c>
      <c r="N15" s="613">
        <f t="shared" si="0"/>
        <v>0</v>
      </c>
    </row>
    <row r="16" spans="1:14">
      <c r="A16" s="594" t="s">
        <v>13</v>
      </c>
      <c r="B16" s="586"/>
      <c r="C16" s="608" t="s">
        <v>617</v>
      </c>
      <c r="D16" s="587"/>
      <c r="E16" s="588"/>
      <c r="F16" s="588"/>
      <c r="G16" s="588"/>
      <c r="H16" s="588"/>
      <c r="I16" s="612">
        <f>UMYr1!M53</f>
        <v>0</v>
      </c>
      <c r="J16" s="612">
        <f>UMYr2!M53</f>
        <v>0</v>
      </c>
      <c r="K16" s="612">
        <f>UMYr3!M53</f>
        <v>0</v>
      </c>
      <c r="L16" s="612">
        <f>UMYr4!M53</f>
        <v>0</v>
      </c>
      <c r="M16" s="612">
        <f>UMYr5!M53</f>
        <v>0</v>
      </c>
      <c r="N16" s="613">
        <f t="shared" si="0"/>
        <v>0</v>
      </c>
    </row>
    <row r="17" spans="1:16">
      <c r="A17" s="235"/>
      <c r="E17" s="223"/>
      <c r="F17" s="223"/>
      <c r="G17" s="223"/>
      <c r="H17" s="223"/>
      <c r="I17" s="223"/>
      <c r="J17" s="223"/>
      <c r="K17" s="223"/>
      <c r="L17" s="223"/>
      <c r="M17" s="223"/>
      <c r="N17" s="614">
        <f>SUM(N10:N16)</f>
        <v>0</v>
      </c>
      <c r="O17" s="833" t="s">
        <v>629</v>
      </c>
      <c r="P17" s="834"/>
    </row>
    <row r="20" spans="1:16" ht="24" customHeight="1">
      <c r="A20" s="835" t="s">
        <v>630</v>
      </c>
      <c r="B20" s="835"/>
      <c r="C20" s="835"/>
      <c r="D20" s="835"/>
      <c r="E20" s="835"/>
      <c r="F20" s="835"/>
      <c r="G20" s="835"/>
      <c r="H20" s="835"/>
      <c r="I20" s="835"/>
      <c r="J20" s="835"/>
      <c r="K20" s="835"/>
      <c r="L20" s="835"/>
      <c r="M20" s="835"/>
      <c r="N20" s="835"/>
    </row>
    <row r="21" spans="1:16" ht="12.75" customHeight="1">
      <c r="A21" s="606" t="s">
        <v>631</v>
      </c>
      <c r="B21" s="88"/>
      <c r="C21" s="88"/>
      <c r="D21" s="88"/>
      <c r="E21" s="88"/>
      <c r="F21" s="88"/>
      <c r="G21" s="88"/>
      <c r="H21" s="88"/>
      <c r="I21" s="88"/>
      <c r="J21" s="88"/>
      <c r="K21" s="88"/>
      <c r="L21" s="88"/>
      <c r="M21" s="88"/>
      <c r="N21" s="88"/>
    </row>
    <row r="22" spans="1:16">
      <c r="A22" s="606" t="s">
        <v>632</v>
      </c>
      <c r="B22" s="88"/>
      <c r="C22" s="88"/>
      <c r="D22" s="88"/>
      <c r="E22" s="88"/>
      <c r="F22" s="88"/>
      <c r="G22" s="88"/>
      <c r="H22" s="88"/>
      <c r="I22" s="88"/>
      <c r="J22" s="88"/>
      <c r="K22" s="88"/>
      <c r="L22" s="88"/>
      <c r="M22" s="88"/>
      <c r="N22" s="88"/>
    </row>
    <row r="23" spans="1:16">
      <c r="A23" s="606" t="s">
        <v>633</v>
      </c>
      <c r="B23" s="88"/>
      <c r="C23" s="88"/>
      <c r="D23" s="88"/>
      <c r="E23" s="88"/>
      <c r="F23" s="88"/>
      <c r="G23" s="88"/>
      <c r="H23" s="88"/>
      <c r="I23" s="88"/>
      <c r="J23" s="88"/>
      <c r="K23" s="88"/>
      <c r="L23" s="88"/>
      <c r="M23" s="88"/>
      <c r="N23" s="88"/>
    </row>
    <row r="24" spans="1:16">
      <c r="A24" s="606"/>
      <c r="B24" s="88"/>
      <c r="C24" s="88"/>
      <c r="D24" s="88"/>
      <c r="E24" s="88"/>
      <c r="F24" s="88"/>
      <c r="G24" s="88"/>
      <c r="H24" s="88"/>
      <c r="I24" s="88"/>
      <c r="J24" s="88"/>
      <c r="K24" s="88"/>
      <c r="L24" s="88"/>
      <c r="M24" s="88"/>
      <c r="N24" s="88"/>
    </row>
    <row r="25" spans="1:16">
      <c r="A25" s="606"/>
      <c r="B25" s="88"/>
      <c r="C25" s="88"/>
      <c r="D25" s="88"/>
      <c r="E25" s="88"/>
      <c r="F25" s="88"/>
      <c r="G25" s="88"/>
      <c r="H25" s="88"/>
      <c r="I25" s="88"/>
      <c r="J25" s="88"/>
      <c r="K25" s="88"/>
      <c r="L25" s="88"/>
      <c r="M25" s="88"/>
      <c r="N25" s="88"/>
    </row>
    <row r="26" spans="1:16">
      <c r="A26" s="606"/>
      <c r="B26" s="88"/>
      <c r="C26" s="88"/>
      <c r="D26" s="88"/>
      <c r="E26" s="88"/>
      <c r="F26" s="88"/>
      <c r="G26" s="88"/>
      <c r="H26" s="88"/>
      <c r="I26" s="88"/>
      <c r="J26" s="88"/>
      <c r="K26" s="88"/>
      <c r="L26" s="88"/>
      <c r="M26" s="88"/>
      <c r="N26" s="88"/>
    </row>
    <row r="27" spans="1:16">
      <c r="A27" s="88"/>
      <c r="B27" s="88"/>
      <c r="C27" s="88"/>
      <c r="D27" s="88"/>
      <c r="E27" s="88"/>
      <c r="F27" s="88"/>
      <c r="G27" s="88"/>
      <c r="H27" s="88"/>
      <c r="I27" s="88"/>
      <c r="J27" s="88"/>
      <c r="K27" s="88"/>
      <c r="L27" s="88"/>
      <c r="M27" s="88"/>
      <c r="N27" s="88"/>
    </row>
  </sheetData>
  <sheetProtection algorithmName="SHA-512" hashValue="7NbyJHo0SITNWThQBePcRaCf3g0tBy4wQIUhGW/H6tqD23WEgR4AWxrtmNACaSHV/Y7PeaKZ+RH8VTiukrtvyg==" saltValue="tVb5361kapmN3agtiXNlNw==" spinCount="100000" sheet="1" objects="1" scenarios="1"/>
  <mergeCells count="6">
    <mergeCell ref="O17:P17"/>
    <mergeCell ref="A20:N20"/>
    <mergeCell ref="A1:H1"/>
    <mergeCell ref="I1:N1"/>
    <mergeCell ref="A2:M3"/>
    <mergeCell ref="A8:N8"/>
  </mergeCells>
  <pageMargins left="0.7" right="0.7" top="0.75" bottom="0.75" header="0.3" footer="0.3"/>
  <pageSetup scale="55"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J238"/>
  <sheetViews>
    <sheetView zoomScaleNormal="100" workbookViewId="0">
      <pane ySplit="6" topLeftCell="A19" activePane="bottomLeft" state="frozen"/>
      <selection pane="bottomLeft" activeCell="C44" sqref="C44"/>
    </sheetView>
  </sheetViews>
  <sheetFormatPr defaultColWidth="9.140625" defaultRowHeight="12.75"/>
  <cols>
    <col min="1" max="1" width="8.28515625" style="223" customWidth="1"/>
    <col min="2" max="2" width="6.7109375" style="223"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42578125" customWidth="1"/>
    <col min="19" max="19" width="36.28515625" customWidth="1"/>
    <col min="20" max="26" width="9.140625" hidden="1" customWidth="1"/>
    <col min="27" max="37" width="9.140625" customWidth="1"/>
  </cols>
  <sheetData>
    <row r="1" spans="1:36" ht="30.6" customHeight="1">
      <c r="A1" s="729" t="s">
        <v>634</v>
      </c>
      <c r="B1" s="1047"/>
      <c r="C1" s="1028"/>
      <c r="D1" s="729" t="s">
        <v>434</v>
      </c>
      <c r="E1" s="842"/>
      <c r="F1" s="842"/>
      <c r="G1" s="842"/>
      <c r="H1" s="842"/>
      <c r="I1" s="842"/>
      <c r="J1" s="842"/>
      <c r="K1" s="842"/>
      <c r="L1" s="842"/>
      <c r="M1" s="842"/>
      <c r="N1" s="843"/>
      <c r="O1" s="846" t="str">
        <f>Instructions!A42</f>
        <v>ORA Budget Form Revised  10/15/24</v>
      </c>
      <c r="P1" s="847"/>
      <c r="Q1" s="847"/>
    </row>
    <row r="2" spans="1:36" ht="12.95" customHeight="1">
      <c r="A2" s="782" t="s">
        <v>435</v>
      </c>
      <c r="B2" s="783"/>
      <c r="C2" s="473" t="s">
        <v>436</v>
      </c>
      <c r="D2" s="863" t="str">
        <f>IF(Sponsor!D2 = "", "", Sponsor!D2)</f>
        <v/>
      </c>
      <c r="E2" s="1048"/>
      <c r="F2" s="1048"/>
      <c r="G2" s="1049"/>
      <c r="H2" s="749" t="s">
        <v>635</v>
      </c>
      <c r="I2" s="777"/>
      <c r="J2" s="779"/>
      <c r="K2" s="854" t="str">
        <f>IF(Sponsor!H2 = "", "", Sponsor!H2)</f>
        <v/>
      </c>
      <c r="L2" s="866"/>
      <c r="M2" s="567"/>
      <c r="N2" s="558"/>
      <c r="O2" s="859" t="s">
        <v>636</v>
      </c>
      <c r="P2" s="1050"/>
      <c r="Q2" s="1037"/>
    </row>
    <row r="3" spans="1:36" ht="12.95" customHeight="1">
      <c r="A3" s="844" t="s">
        <v>439</v>
      </c>
      <c r="B3" s="845"/>
      <c r="C3" s="21" t="s">
        <v>440</v>
      </c>
      <c r="D3" s="854" t="str">
        <f>IF(Sponsor!D3 = "", "", Sponsor!D3)</f>
        <v/>
      </c>
      <c r="E3" s="855"/>
      <c r="F3" s="855"/>
      <c r="G3" s="856"/>
      <c r="H3" s="749" t="s">
        <v>637</v>
      </c>
      <c r="I3" s="777"/>
      <c r="J3" s="779"/>
      <c r="K3" s="854" t="str">
        <f>IF(Sponsor!H3 = "", "", Sponsor!H3)</f>
        <v/>
      </c>
      <c r="L3" s="866"/>
      <c r="M3" s="568"/>
      <c r="N3" s="39"/>
      <c r="O3" s="1033"/>
      <c r="P3" s="1030"/>
      <c r="Q3" s="1038"/>
    </row>
    <row r="4" spans="1:36" ht="12.95" customHeight="1">
      <c r="A4" s="864" t="str">
        <f>IF(Sponsor!A4 = "", "", Sponsor!A4)</f>
        <v/>
      </c>
      <c r="B4" s="865"/>
      <c r="C4" s="477" t="s">
        <v>638</v>
      </c>
      <c r="D4" s="854" t="str">
        <f>IF(Sponsor!D4="","",Sponsor!D4)</f>
        <v/>
      </c>
      <c r="E4" s="866"/>
      <c r="F4" s="904" t="str">
        <f>IF(Sponsor!E4="","",Sponsor!E4)</f>
        <v/>
      </c>
      <c r="G4" s="905"/>
      <c r="H4" s="906" t="s">
        <v>639</v>
      </c>
      <c r="I4" s="907"/>
      <c r="J4" s="908"/>
      <c r="K4" s="867" t="str">
        <f>IF(Sponsor!H4 = "", "", Sponsor!H4)</f>
        <v/>
      </c>
      <c r="L4" s="856"/>
      <c r="M4" s="567"/>
      <c r="N4" s="558"/>
      <c r="O4" s="1033"/>
      <c r="P4" s="1030"/>
      <c r="Q4" s="1038"/>
    </row>
    <row r="5" spans="1:36" ht="12.95" customHeight="1">
      <c r="A5" s="849" t="s">
        <v>445</v>
      </c>
      <c r="B5" s="860" t="s">
        <v>446</v>
      </c>
      <c r="C5" s="862" t="s">
        <v>447</v>
      </c>
      <c r="D5" s="797" t="s">
        <v>433</v>
      </c>
      <c r="E5" s="857" t="s">
        <v>640</v>
      </c>
      <c r="F5" s="858"/>
      <c r="G5" s="858"/>
      <c r="H5" s="858"/>
      <c r="I5" s="858"/>
      <c r="J5" s="853"/>
      <c r="K5" s="848" t="s">
        <v>641</v>
      </c>
      <c r="L5" s="852" t="s">
        <v>642</v>
      </c>
      <c r="M5" s="853"/>
      <c r="N5" s="848" t="s">
        <v>643</v>
      </c>
      <c r="O5" s="850" t="s">
        <v>644</v>
      </c>
      <c r="P5" s="850" t="s">
        <v>645</v>
      </c>
      <c r="Q5" s="883" t="s">
        <v>641</v>
      </c>
    </row>
    <row r="6" spans="1:36" ht="12.95" customHeight="1">
      <c r="A6" s="849"/>
      <c r="B6" s="861"/>
      <c r="C6" s="787"/>
      <c r="D6" s="798"/>
      <c r="E6" s="679" t="str">
        <f>IF('Cost Share Sources'!B10 = "", "", 'Cost Share Sources'!B10)</f>
        <v/>
      </c>
      <c r="F6" s="679" t="str">
        <f>IF('Cost Share Sources'!B11 = "", "", 'Cost Share Sources'!B11)</f>
        <v/>
      </c>
      <c r="G6" s="679" t="str">
        <f>IF('Cost Share Sources'!B12 = "", "", 'Cost Share Sources'!B12)</f>
        <v/>
      </c>
      <c r="H6" s="679" t="str">
        <f>IF('Cost Share Sources'!B13 = "", "", 'Cost Share Sources'!B13)</f>
        <v/>
      </c>
      <c r="I6" s="679" t="str">
        <f>IF('Cost Share Sources'!B14 = "", "", 'Cost Share Sources'!B14)</f>
        <v/>
      </c>
      <c r="J6" s="262" t="s">
        <v>646</v>
      </c>
      <c r="K6" s="849"/>
      <c r="L6" s="19" t="s">
        <v>647</v>
      </c>
      <c r="M6" s="20" t="s">
        <v>13</v>
      </c>
      <c r="N6" s="849"/>
      <c r="O6" s="851"/>
      <c r="P6" s="851"/>
      <c r="Q6" s="884"/>
      <c r="S6" s="193">
        <f>IF(J2="",0.485,0)</f>
        <v>0.48499999999999999</v>
      </c>
    </row>
    <row r="7" spans="1:36" ht="12.95" customHeight="1">
      <c r="A7" s="665"/>
      <c r="B7" s="82" t="s">
        <v>648</v>
      </c>
      <c r="C7" s="28"/>
      <c r="D7" s="28"/>
      <c r="E7" s="28"/>
      <c r="F7" s="28"/>
      <c r="G7" s="28"/>
      <c r="H7" s="28"/>
      <c r="I7" s="28"/>
      <c r="J7" s="28"/>
      <c r="K7" s="28"/>
      <c r="L7" s="28"/>
      <c r="M7" s="28"/>
      <c r="N7" s="190"/>
      <c r="O7" s="1051"/>
      <c r="P7" s="1047"/>
      <c r="Q7" s="1028"/>
      <c r="S7" s="200"/>
      <c r="T7" s="197"/>
      <c r="U7" s="443"/>
      <c r="V7" s="443"/>
      <c r="W7" s="443"/>
      <c r="X7" s="443"/>
      <c r="Y7" s="443"/>
      <c r="Z7" s="443"/>
      <c r="AA7" s="63"/>
    </row>
    <row r="8" spans="1:36" ht="12.95" customHeight="1">
      <c r="A8" s="679" t="str">
        <f>IF(Sponsor!A8="","",Sponsor!A8)</f>
        <v/>
      </c>
      <c r="B8" s="679" t="str">
        <f>IF(Sponsor!B8 &lt;&gt;"",Sponsor!B8,"")</f>
        <v/>
      </c>
      <c r="C8" s="680" t="str">
        <f>IF(Sponsor!C8="","",Sponsor!C8)</f>
        <v/>
      </c>
      <c r="D8" s="105">
        <f>Sponsor!D8</f>
        <v>0</v>
      </c>
      <c r="E8" s="7"/>
      <c r="F8" s="7"/>
      <c r="G8" s="7"/>
      <c r="H8" s="7"/>
      <c r="I8" s="7"/>
      <c r="J8" s="29">
        <f t="shared" ref="J8:J13" si="0">SUM(E8:I8)</f>
        <v>0</v>
      </c>
      <c r="K8" s="30">
        <f>D8+J8</f>
        <v>0</v>
      </c>
      <c r="L8" s="7"/>
      <c r="M8" s="7"/>
      <c r="N8" s="30">
        <f>SUM(K8:M8)</f>
        <v>0</v>
      </c>
      <c r="O8" s="263">
        <f>UMYr1!D8+UMYr2!D8+UMYr3!D8+UMYr4!D8+UMYr5!D8</f>
        <v>0</v>
      </c>
      <c r="P8" s="264">
        <f>UMYr1!J8+UMYr2!J8+UMYr3!J8+UMYr4!J8+UMYr5!J8</f>
        <v>0</v>
      </c>
      <c r="Q8" s="265">
        <f t="shared" ref="Q8:Q13" si="1">O8+P8</f>
        <v>0</v>
      </c>
      <c r="S8" s="197"/>
      <c r="T8" s="197"/>
      <c r="U8" s="146"/>
      <c r="V8" s="146"/>
      <c r="W8" s="146"/>
      <c r="X8" s="146"/>
      <c r="Y8" s="146"/>
      <c r="Z8" s="146"/>
      <c r="AC8" s="198"/>
      <c r="AD8" s="198"/>
      <c r="AE8" s="198"/>
      <c r="AF8" s="198"/>
      <c r="AG8" s="198"/>
      <c r="AH8" s="198"/>
      <c r="AJ8" s="198"/>
    </row>
    <row r="9" spans="1:36" ht="12.95" customHeight="1">
      <c r="A9" s="679" t="str">
        <f>IF(Sponsor!A9="","",Sponsor!A9)</f>
        <v/>
      </c>
      <c r="B9" s="679" t="str">
        <f>IF(Sponsor!B9 &lt;&gt;"",Sponsor!B9,"")</f>
        <v/>
      </c>
      <c r="C9" s="680" t="str">
        <f>IF(Sponsor!C9="","",Sponsor!C9)</f>
        <v/>
      </c>
      <c r="D9" s="106">
        <f>Sponsor!D9</f>
        <v>0</v>
      </c>
      <c r="E9" s="9"/>
      <c r="F9" s="8"/>
      <c r="G9" s="8"/>
      <c r="H9" s="8"/>
      <c r="I9" s="8"/>
      <c r="J9" s="31">
        <f t="shared" si="0"/>
        <v>0</v>
      </c>
      <c r="K9" s="32">
        <f>D9+J9</f>
        <v>0</v>
      </c>
      <c r="L9" s="8"/>
      <c r="M9" s="8"/>
      <c r="N9" s="32">
        <f t="shared" ref="N9:N54" si="2">SUM(K9:M9)</f>
        <v>0</v>
      </c>
      <c r="O9" s="263">
        <f>UMYr1!D9+UMYr2!D9+UMYr3!D9+UMYr4!D9+UMYr5!D9</f>
        <v>0</v>
      </c>
      <c r="P9" s="264">
        <f>UMYr1!J9+UMYr2!J9+UMYr3!J9+UMYr4!J9+UMYr5!J9</f>
        <v>0</v>
      </c>
      <c r="Q9" s="266">
        <f t="shared" si="1"/>
        <v>0</v>
      </c>
      <c r="S9" s="197"/>
      <c r="T9" s="197"/>
      <c r="U9" s="146"/>
      <c r="V9" s="146"/>
      <c r="W9" s="146"/>
      <c r="X9" s="146"/>
      <c r="Y9" s="146"/>
      <c r="Z9" s="146"/>
      <c r="AC9" s="198"/>
      <c r="AD9" s="198"/>
      <c r="AE9" s="198"/>
      <c r="AF9" s="198"/>
      <c r="AG9" s="198"/>
      <c r="AH9" s="198"/>
      <c r="AJ9" s="198"/>
    </row>
    <row r="10" spans="1:36" ht="12.95" customHeight="1">
      <c r="A10" s="679" t="str">
        <f>IF(Sponsor!A10="","",Sponsor!A10)</f>
        <v/>
      </c>
      <c r="B10" s="679" t="str">
        <f>IF(Sponsor!B10 &lt;&gt;"",Sponsor!B10,"")</f>
        <v/>
      </c>
      <c r="C10" s="680" t="str">
        <f>IF(Sponsor!C10="","",Sponsor!C10)</f>
        <v/>
      </c>
      <c r="D10" s="106">
        <f>Sponsor!D10</f>
        <v>0</v>
      </c>
      <c r="E10" s="8"/>
      <c r="F10" s="8"/>
      <c r="G10" s="8"/>
      <c r="H10" s="8"/>
      <c r="I10" s="8"/>
      <c r="J10" s="31">
        <f t="shared" si="0"/>
        <v>0</v>
      </c>
      <c r="K10" s="32">
        <f>D10+J10</f>
        <v>0</v>
      </c>
      <c r="L10" s="8"/>
      <c r="M10" s="8"/>
      <c r="N10" s="32">
        <f t="shared" si="2"/>
        <v>0</v>
      </c>
      <c r="O10" s="263">
        <f>UMYr1!D10+UMYr2!D10+UMYr3!D10+UMYr4!D10+UMYr5!D10</f>
        <v>0</v>
      </c>
      <c r="P10" s="264">
        <f>UMYr1!J10+UMYr2!J10+UMYr3!J10+UMYr4!J10+UMYr5!J10</f>
        <v>0</v>
      </c>
      <c r="Q10" s="266">
        <f t="shared" si="1"/>
        <v>0</v>
      </c>
      <c r="S10" s="197"/>
      <c r="T10" s="197"/>
      <c r="U10" s="146"/>
      <c r="V10" s="146"/>
      <c r="W10" s="146"/>
      <c r="X10" s="146"/>
      <c r="Y10" s="146"/>
      <c r="Z10" s="146"/>
      <c r="AA10" s="146"/>
      <c r="AC10" s="198"/>
      <c r="AD10" s="198"/>
      <c r="AE10" s="198"/>
      <c r="AF10" s="198"/>
      <c r="AG10" s="198"/>
      <c r="AH10" s="198"/>
      <c r="AJ10" s="198"/>
    </row>
    <row r="11" spans="1:36" ht="12.95" customHeight="1">
      <c r="A11" s="679" t="str">
        <f>IF(Sponsor!A11="","",Sponsor!A11)</f>
        <v/>
      </c>
      <c r="B11" s="679" t="str">
        <f>IF(Sponsor!B11 &lt;&gt;"",Sponsor!B11,"")</f>
        <v/>
      </c>
      <c r="C11" s="680" t="str">
        <f>IF(Sponsor!C11="","",Sponsor!C11)</f>
        <v/>
      </c>
      <c r="D11" s="106">
        <f>Sponsor!D11</f>
        <v>0</v>
      </c>
      <c r="E11" s="9"/>
      <c r="F11" s="8"/>
      <c r="G11" s="8"/>
      <c r="H11" s="8"/>
      <c r="I11" s="8"/>
      <c r="J11" s="31">
        <f t="shared" si="0"/>
        <v>0</v>
      </c>
      <c r="K11" s="32">
        <f>D11+J11</f>
        <v>0</v>
      </c>
      <c r="L11" s="8"/>
      <c r="M11" s="8"/>
      <c r="N11" s="32">
        <f t="shared" si="2"/>
        <v>0</v>
      </c>
      <c r="O11" s="263">
        <f>UMYr1!D11+UMYr2!D11+UMYr3!D11+UMYr4!D11+UMYr5!D11</f>
        <v>0</v>
      </c>
      <c r="P11" s="264">
        <f>UMYr1!J11+UMYr2!J11+UMYr3!J11+UMYr4!J11+UMYr5!J11</f>
        <v>0</v>
      </c>
      <c r="Q11" s="266">
        <f t="shared" si="1"/>
        <v>0</v>
      </c>
      <c r="S11" s="197"/>
      <c r="T11" s="197"/>
      <c r="U11" s="146"/>
      <c r="V11" s="146"/>
      <c r="W11" s="146"/>
      <c r="X11" s="146"/>
      <c r="Y11" s="146"/>
      <c r="Z11" s="146"/>
      <c r="AC11" s="198"/>
      <c r="AD11" s="198"/>
      <c r="AE11" s="198"/>
      <c r="AF11" s="198"/>
      <c r="AG11" s="198"/>
      <c r="AH11" s="198"/>
      <c r="AJ11" s="198"/>
    </row>
    <row r="12" spans="1:36" ht="12.95" customHeight="1">
      <c r="A12" s="681" t="s">
        <v>468</v>
      </c>
      <c r="B12" s="879" t="s">
        <v>469</v>
      </c>
      <c r="C12" s="763"/>
      <c r="D12" s="25">
        <f t="shared" ref="D12:I12" si="3">IF(D102="","",D102)</f>
        <v>0</v>
      </c>
      <c r="E12" s="33">
        <f t="shared" si="3"/>
        <v>0</v>
      </c>
      <c r="F12" s="23">
        <f t="shared" si="3"/>
        <v>0</v>
      </c>
      <c r="G12" s="23">
        <f t="shared" si="3"/>
        <v>0</v>
      </c>
      <c r="H12" s="23">
        <f t="shared" si="3"/>
        <v>0</v>
      </c>
      <c r="I12" s="23">
        <f t="shared" si="3"/>
        <v>0</v>
      </c>
      <c r="J12" s="31">
        <f t="shared" si="0"/>
        <v>0</v>
      </c>
      <c r="K12" s="25">
        <f>K102</f>
        <v>0</v>
      </c>
      <c r="L12" s="23">
        <f>IF(L102="","",L102)</f>
        <v>0</v>
      </c>
      <c r="M12" s="23">
        <f>IF(M102="","",M102)</f>
        <v>0</v>
      </c>
      <c r="N12" s="25">
        <f t="shared" si="2"/>
        <v>0</v>
      </c>
      <c r="O12" s="263">
        <f>UMYr1!D12+UMYr2!D12+UMYr3!D12+UMYr4!D12+UMYr5!D12</f>
        <v>0</v>
      </c>
      <c r="P12" s="264">
        <f>UMYr1!J12+UMYr2!J12+UMYr3!J12+UMYr4!J12+UMYr5!J12</f>
        <v>0</v>
      </c>
      <c r="Q12" s="266">
        <f t="shared" si="1"/>
        <v>0</v>
      </c>
      <c r="S12" s="197"/>
      <c r="T12" s="197"/>
      <c r="AJ12" s="198"/>
    </row>
    <row r="13" spans="1:36" ht="12.95" customHeight="1">
      <c r="A13" s="156"/>
      <c r="B13" s="872" t="s">
        <v>473</v>
      </c>
      <c r="C13" s="753"/>
      <c r="D13" s="26">
        <f t="shared" ref="D13:I13" si="4">SUM(D8:D12)</f>
        <v>0</v>
      </c>
      <c r="E13" s="34">
        <f t="shared" si="4"/>
        <v>0</v>
      </c>
      <c r="F13" s="34">
        <f t="shared" si="4"/>
        <v>0</v>
      </c>
      <c r="G13" s="34">
        <f t="shared" si="4"/>
        <v>0</v>
      </c>
      <c r="H13" s="34">
        <f t="shared" si="4"/>
        <v>0</v>
      </c>
      <c r="I13" s="34">
        <f t="shared" si="4"/>
        <v>0</v>
      </c>
      <c r="J13" s="31">
        <f t="shared" si="0"/>
        <v>0</v>
      </c>
      <c r="K13" s="26">
        <f>SUM(K8:K12)</f>
        <v>0</v>
      </c>
      <c r="L13" s="35">
        <f>SUM(L8:L12)</f>
        <v>0</v>
      </c>
      <c r="M13" s="34">
        <f>SUM(M8:M12)</f>
        <v>0</v>
      </c>
      <c r="N13" s="26">
        <f t="shared" si="2"/>
        <v>0</v>
      </c>
      <c r="O13" s="263">
        <f>UMYr1!D13+UMYr2!D13+UMYr3!D13+UMYr4!D13+UMYr5!D13</f>
        <v>0</v>
      </c>
      <c r="P13" s="264">
        <f>UMYr1!J13+UMYr2!J13+UMYr3!J13+UMYr4!J13+UMYr5!J13</f>
        <v>0</v>
      </c>
      <c r="Q13" s="266">
        <f t="shared" si="1"/>
        <v>0</v>
      </c>
      <c r="U13" s="146"/>
      <c r="V13" s="146"/>
      <c r="W13" s="146"/>
      <c r="X13" s="146"/>
      <c r="Y13" s="146"/>
      <c r="Z13" s="146"/>
      <c r="AC13" s="198"/>
      <c r="AD13" s="198"/>
      <c r="AE13" s="198"/>
      <c r="AF13" s="198"/>
      <c r="AG13" s="198"/>
      <c r="AH13" s="198"/>
      <c r="AJ13" s="198"/>
    </row>
    <row r="14" spans="1:36" ht="12.95" customHeight="1">
      <c r="A14" s="156"/>
      <c r="B14" s="82" t="s">
        <v>649</v>
      </c>
      <c r="C14" s="28"/>
      <c r="D14" s="28"/>
      <c r="E14" s="28"/>
      <c r="F14" s="28"/>
      <c r="G14" s="28"/>
      <c r="H14" s="28"/>
      <c r="I14" s="28"/>
      <c r="J14" s="28"/>
      <c r="K14" s="28"/>
      <c r="L14" s="28"/>
      <c r="M14" s="28"/>
      <c r="N14" s="190"/>
      <c r="O14" s="1051"/>
      <c r="P14" s="1047"/>
      <c r="Q14" s="1028"/>
      <c r="U14" s="146"/>
      <c r="V14" s="146"/>
      <c r="W14" s="146"/>
      <c r="X14" s="146"/>
      <c r="Y14" s="146"/>
      <c r="Z14" s="146"/>
      <c r="AC14" s="198"/>
      <c r="AD14" s="198"/>
      <c r="AE14" s="198"/>
      <c r="AF14" s="198"/>
      <c r="AG14" s="198"/>
      <c r="AH14" s="198"/>
      <c r="AJ14" s="198"/>
    </row>
    <row r="15" spans="1:36" ht="12.95" customHeight="1">
      <c r="A15" s="679">
        <f>IF(Sponsor!A15="","",Sponsor!A15)</f>
        <v>51100</v>
      </c>
      <c r="B15" s="679" t="str">
        <f>IF(Sponsor!B15 &lt;&gt;"",Sponsor!B15,"")</f>
        <v/>
      </c>
      <c r="C15" s="260" t="str">
        <f>Sponsor!C15</f>
        <v>Post Doctoral Associates</v>
      </c>
      <c r="D15" s="105">
        <f>Sponsor!D15</f>
        <v>0</v>
      </c>
      <c r="E15" s="8"/>
      <c r="F15" s="8"/>
      <c r="G15" s="8"/>
      <c r="H15" s="8"/>
      <c r="I15" s="8"/>
      <c r="J15" s="31">
        <f t="shared" ref="J15:J26" si="5">SUM(E15:I15)</f>
        <v>0</v>
      </c>
      <c r="K15" s="30">
        <f t="shared" ref="K15:K53" si="6">D15+J15</f>
        <v>0</v>
      </c>
      <c r="L15" s="8"/>
      <c r="M15" s="8"/>
      <c r="N15" s="30">
        <f t="shared" si="2"/>
        <v>0</v>
      </c>
      <c r="O15" s="263">
        <f>UMYr1!D15+UMYr2!D15+UMYr3!D15+UMYr4!D15+UMYr5!D15</f>
        <v>0</v>
      </c>
      <c r="P15" s="264">
        <f>UMYr1!J15+UMYr2!J15+UMYr3!J15+UMYr4!J15+UMYr5!J15</f>
        <v>0</v>
      </c>
      <c r="Q15" s="266">
        <f t="shared" ref="Q15:Q26" si="7">O15+P15</f>
        <v>0</v>
      </c>
      <c r="U15" s="146"/>
      <c r="V15" s="146"/>
      <c r="W15" s="146"/>
      <c r="X15" s="146"/>
      <c r="Y15" s="146"/>
      <c r="Z15" s="146"/>
      <c r="AA15" s="146"/>
      <c r="AC15" s="198"/>
      <c r="AD15" s="198"/>
      <c r="AE15" s="198"/>
      <c r="AF15" s="198"/>
      <c r="AG15" s="198"/>
      <c r="AH15" s="198"/>
      <c r="AJ15" s="198"/>
    </row>
    <row r="16" spans="1:36" ht="12.95" customHeight="1">
      <c r="A16" s="679">
        <f>IF(Sponsor!A16="","",Sponsor!A16)</f>
        <v>51100</v>
      </c>
      <c r="B16" s="679" t="str">
        <f>IF(Sponsor!B16 &lt;&gt;"",Sponsor!B16,"")</f>
        <v/>
      </c>
      <c r="C16" s="138" t="str">
        <f>Sponsor!C16</f>
        <v>Other Professionals</v>
      </c>
      <c r="D16" s="106">
        <f>Sponsor!D16</f>
        <v>0</v>
      </c>
      <c r="E16" s="9"/>
      <c r="F16" s="8"/>
      <c r="G16" s="8"/>
      <c r="H16" s="8"/>
      <c r="I16" s="8"/>
      <c r="J16" s="31">
        <f t="shared" si="5"/>
        <v>0</v>
      </c>
      <c r="K16" s="32">
        <f t="shared" si="6"/>
        <v>0</v>
      </c>
      <c r="L16" s="8"/>
      <c r="M16" s="8"/>
      <c r="N16" s="32">
        <f t="shared" si="2"/>
        <v>0</v>
      </c>
      <c r="O16" s="263">
        <f>UMYr1!D16+UMYr2!D16+UMYr3!D16+UMYr4!D16+UMYr5!D16</f>
        <v>0</v>
      </c>
      <c r="P16" s="264">
        <f>UMYr1!J16+UMYr2!J16+UMYr3!J16+UMYr4!J16+UMYr5!J16</f>
        <v>0</v>
      </c>
      <c r="Q16" s="266">
        <f t="shared" si="7"/>
        <v>0</v>
      </c>
      <c r="U16" s="146"/>
      <c r="V16" s="146"/>
      <c r="W16" s="146"/>
      <c r="X16" s="146"/>
      <c r="Y16" s="146"/>
      <c r="Z16" s="146"/>
      <c r="AC16" s="198"/>
      <c r="AD16" s="198"/>
      <c r="AE16" s="198"/>
      <c r="AF16" s="198"/>
      <c r="AG16" s="198"/>
      <c r="AH16" s="198"/>
      <c r="AJ16" s="198"/>
    </row>
    <row r="17" spans="1:36" ht="12.95" customHeight="1">
      <c r="A17" s="679">
        <f>IF(Sponsor!A17="","",Sponsor!A17)</f>
        <v>53601</v>
      </c>
      <c r="B17" s="679" t="str">
        <f>IF(Sponsor!B17 &lt;&gt;"",Sponsor!B17,"")</f>
        <v/>
      </c>
      <c r="C17" s="138" t="str">
        <f>Sponsor!C17</f>
        <v>Graduate Students</v>
      </c>
      <c r="D17" s="106">
        <f>Sponsor!D17</f>
        <v>0</v>
      </c>
      <c r="E17" s="8"/>
      <c r="F17" s="8"/>
      <c r="G17" s="8"/>
      <c r="H17" s="8"/>
      <c r="I17" s="8"/>
      <c r="J17" s="31">
        <f t="shared" si="5"/>
        <v>0</v>
      </c>
      <c r="K17" s="32">
        <f t="shared" si="6"/>
        <v>0</v>
      </c>
      <c r="L17" s="8"/>
      <c r="M17" s="8"/>
      <c r="N17" s="32">
        <f t="shared" si="2"/>
        <v>0</v>
      </c>
      <c r="O17" s="263">
        <f>UMYr1!D17+UMYr2!D17+UMYr3!D17+UMYr4!D17+UMYr5!D17</f>
        <v>0</v>
      </c>
      <c r="P17" s="264">
        <f>UMYr1!J17+UMYr2!J17+UMYr3!J17+UMYr4!J17+UMYr5!J17</f>
        <v>0</v>
      </c>
      <c r="Q17" s="266">
        <f t="shared" si="7"/>
        <v>0</v>
      </c>
      <c r="U17" s="146"/>
      <c r="V17" s="146"/>
      <c r="W17" s="146"/>
      <c r="X17" s="146"/>
      <c r="Y17" s="146"/>
      <c r="Z17" s="146"/>
      <c r="AC17" s="198"/>
      <c r="AD17" s="198"/>
      <c r="AE17" s="198"/>
      <c r="AF17" s="198"/>
      <c r="AG17" s="198"/>
      <c r="AH17" s="198"/>
      <c r="AJ17" s="198"/>
    </row>
    <row r="18" spans="1:36" ht="12.95" customHeight="1">
      <c r="A18" s="679">
        <f>IF(Sponsor!A18="","",Sponsor!A18)</f>
        <v>53300</v>
      </c>
      <c r="B18" s="679" t="str">
        <f>IF(Sponsor!B18 &lt;&gt;"",Sponsor!B18,"")</f>
        <v/>
      </c>
      <c r="C18" s="138" t="str">
        <f>Sponsor!C18</f>
        <v>Undergraduate Students</v>
      </c>
      <c r="D18" s="106">
        <f>Sponsor!D18</f>
        <v>0</v>
      </c>
      <c r="E18" s="9"/>
      <c r="F18" s="8"/>
      <c r="G18" s="8"/>
      <c r="H18" s="8"/>
      <c r="I18" s="8"/>
      <c r="J18" s="31">
        <f t="shared" si="5"/>
        <v>0</v>
      </c>
      <c r="K18" s="32">
        <f t="shared" si="6"/>
        <v>0</v>
      </c>
      <c r="L18" s="8"/>
      <c r="M18" s="8"/>
      <c r="N18" s="32">
        <f t="shared" si="2"/>
        <v>0</v>
      </c>
      <c r="O18" s="263">
        <f>UMYr1!D18+UMYr2!D18+UMYr3!D18+UMYr4!D18+UMYr5!D18</f>
        <v>0</v>
      </c>
      <c r="P18" s="264">
        <f>UMYr1!J18+UMYr2!J18+UMYr3!J18+UMYr4!J18+UMYr5!J18</f>
        <v>0</v>
      </c>
      <c r="Q18" s="266">
        <f t="shared" si="7"/>
        <v>0</v>
      </c>
      <c r="U18" s="146"/>
      <c r="V18" s="146"/>
      <c r="W18" s="146"/>
      <c r="X18" s="146"/>
      <c r="Y18" s="146"/>
      <c r="Z18" s="146"/>
      <c r="AC18" s="198"/>
      <c r="AD18" s="198"/>
      <c r="AE18" s="198"/>
      <c r="AF18" s="198"/>
      <c r="AG18" s="198"/>
      <c r="AH18" s="198"/>
      <c r="AJ18" s="198"/>
    </row>
    <row r="19" spans="1:36" ht="12.95" customHeight="1">
      <c r="A19" s="679">
        <f>IF(Sponsor!A19="","",Sponsor!A19)</f>
        <v>52200</v>
      </c>
      <c r="B19" s="679" t="str">
        <f>IF(Sponsor!B19 &lt;&gt;"",Sponsor!B19,"")</f>
        <v/>
      </c>
      <c r="C19" s="138" t="str">
        <f>Sponsor!C19</f>
        <v>Regular Classified Employees</v>
      </c>
      <c r="D19" s="106">
        <f>Sponsor!D19</f>
        <v>0</v>
      </c>
      <c r="E19" s="8"/>
      <c r="F19" s="8"/>
      <c r="G19" s="8"/>
      <c r="H19" s="8"/>
      <c r="I19" s="8"/>
      <c r="J19" s="31">
        <f t="shared" si="5"/>
        <v>0</v>
      </c>
      <c r="K19" s="32">
        <f t="shared" si="6"/>
        <v>0</v>
      </c>
      <c r="L19" s="8"/>
      <c r="M19" s="8"/>
      <c r="N19" s="32">
        <f t="shared" si="2"/>
        <v>0</v>
      </c>
      <c r="O19" s="263">
        <f>UMYr1!D19+UMYr2!D19+UMYr3!D19+UMYr4!D19+UMYr5!D19</f>
        <v>0</v>
      </c>
      <c r="P19" s="264">
        <f>UMYr1!J19+UMYr2!J19+UMYr3!J19+UMYr4!J19+UMYr5!J19</f>
        <v>0</v>
      </c>
      <c r="Q19" s="266">
        <f t="shared" si="7"/>
        <v>0</v>
      </c>
      <c r="U19" s="146"/>
      <c r="V19" s="146"/>
      <c r="W19" s="146"/>
      <c r="X19" s="146"/>
      <c r="Y19" s="146"/>
      <c r="Z19" s="146"/>
      <c r="AA19" s="146"/>
      <c r="AC19" s="198"/>
      <c r="AD19" s="198"/>
      <c r="AE19" s="198"/>
      <c r="AF19" s="198"/>
      <c r="AG19" s="198"/>
      <c r="AH19" s="198"/>
      <c r="AJ19" s="198"/>
    </row>
    <row r="20" spans="1:36" ht="12.95" customHeight="1">
      <c r="A20" s="679">
        <f>IF(Sponsor!A20="","",Sponsor!A20)</f>
        <v>51012</v>
      </c>
      <c r="B20" s="679" t="str">
        <f>IF(Sponsor!B20 &lt;&gt;"",Sponsor!B20,"")</f>
        <v/>
      </c>
      <c r="C20" s="138" t="str">
        <f>Sponsor!C20</f>
        <v>Non-faculty Temp Employees</v>
      </c>
      <c r="D20" s="106">
        <f>Sponsor!D20</f>
        <v>0</v>
      </c>
      <c r="E20" s="9"/>
      <c r="F20" s="8"/>
      <c r="G20" s="9"/>
      <c r="H20" s="8"/>
      <c r="I20" s="8"/>
      <c r="J20" s="31">
        <f t="shared" si="5"/>
        <v>0</v>
      </c>
      <c r="K20" s="32">
        <f t="shared" si="6"/>
        <v>0</v>
      </c>
      <c r="L20" s="8"/>
      <c r="M20" s="8"/>
      <c r="N20" s="32">
        <f t="shared" si="2"/>
        <v>0</v>
      </c>
      <c r="O20" s="263">
        <f>UMYr1!D20+UMYr2!D20+UMYr3!D20+UMYr4!D20+UMYr5!D20</f>
        <v>0</v>
      </c>
      <c r="P20" s="264">
        <f>UMYr1!J20+UMYr2!J20+UMYr3!J20+UMYr4!J20+UMYr5!J20</f>
        <v>0</v>
      </c>
      <c r="Q20" s="266">
        <f t="shared" si="7"/>
        <v>0</v>
      </c>
      <c r="U20" s="146"/>
      <c r="V20" s="146"/>
      <c r="W20" s="146"/>
      <c r="X20" s="146"/>
      <c r="Y20" s="146"/>
      <c r="Z20" s="146"/>
      <c r="AC20" s="198"/>
      <c r="AD20" s="198"/>
      <c r="AE20" s="198"/>
      <c r="AF20" s="198"/>
      <c r="AG20" s="198"/>
      <c r="AH20" s="198"/>
      <c r="AJ20" s="198"/>
    </row>
    <row r="21" spans="1:36" ht="12.95" customHeight="1">
      <c r="A21" s="679">
        <f>IF(Sponsor!A21="","",Sponsor!A21)</f>
        <v>52012</v>
      </c>
      <c r="B21" s="679" t="str">
        <f>IF(Sponsor!B21 &lt;&gt;"",Sponsor!B21,"")</f>
        <v/>
      </c>
      <c r="C21" s="138" t="str">
        <f>Sponsor!C21</f>
        <v>Temp Classified Employees</v>
      </c>
      <c r="D21" s="106">
        <f>Sponsor!D21</f>
        <v>0</v>
      </c>
      <c r="E21" s="8"/>
      <c r="F21" s="8"/>
      <c r="G21" s="8"/>
      <c r="H21" s="8"/>
      <c r="I21" s="8"/>
      <c r="J21" s="31">
        <f t="shared" si="5"/>
        <v>0</v>
      </c>
      <c r="K21" s="32">
        <f t="shared" si="6"/>
        <v>0</v>
      </c>
      <c r="L21" s="8"/>
      <c r="M21" s="8"/>
      <c r="N21" s="32">
        <f t="shared" si="2"/>
        <v>0</v>
      </c>
      <c r="O21" s="263">
        <f>UMYr1!D21+UMYr2!D21+UMYr3!D21+UMYr4!D21+UMYr5!D21</f>
        <v>0</v>
      </c>
      <c r="P21" s="264">
        <f>UMYr1!J21+UMYr2!J21+UMYr3!J21+UMYr4!J21+UMYr5!J21</f>
        <v>0</v>
      </c>
      <c r="Q21" s="266">
        <f t="shared" si="7"/>
        <v>0</v>
      </c>
      <c r="U21" s="146"/>
      <c r="V21" s="146"/>
      <c r="W21" s="146"/>
      <c r="X21" s="146"/>
      <c r="Y21" s="146"/>
      <c r="Z21" s="146"/>
      <c r="AC21" s="198"/>
      <c r="AD21" s="198"/>
      <c r="AE21" s="198"/>
      <c r="AF21" s="198"/>
      <c r="AG21" s="198"/>
      <c r="AH21" s="198"/>
      <c r="AJ21" s="198"/>
    </row>
    <row r="22" spans="1:36" ht="12.95" customHeight="1">
      <c r="A22" s="679" t="str">
        <f>IF(Sponsor!A22="","",Sponsor!A22)</f>
        <v/>
      </c>
      <c r="B22" s="679" t="s">
        <v>492</v>
      </c>
      <c r="C22" s="138" t="str">
        <f>Sponsor!C22</f>
        <v>Other</v>
      </c>
      <c r="D22" s="106">
        <f>Sponsor!D22</f>
        <v>0</v>
      </c>
      <c r="E22" s="8"/>
      <c r="F22" s="8"/>
      <c r="G22" s="8"/>
      <c r="H22" s="8"/>
      <c r="I22" s="8"/>
      <c r="J22" s="31">
        <f t="shared" si="5"/>
        <v>0</v>
      </c>
      <c r="K22" s="32">
        <f t="shared" si="6"/>
        <v>0</v>
      </c>
      <c r="L22" s="8"/>
      <c r="M22" s="8"/>
      <c r="N22" s="32">
        <f t="shared" si="2"/>
        <v>0</v>
      </c>
      <c r="O22" s="263">
        <f>UMYr1!D22+UMYr2!D22+UMYr3!D22+UMYr4!D22+UMYr5!D22</f>
        <v>0</v>
      </c>
      <c r="P22" s="264">
        <f>UMYr1!J22+UMYr2!J22+UMYr3!J22+UMYr4!J22+UMYr5!J22</f>
        <v>0</v>
      </c>
      <c r="Q22" s="266">
        <f t="shared" si="7"/>
        <v>0</v>
      </c>
      <c r="U22" s="146"/>
      <c r="V22" s="146"/>
      <c r="W22" s="146"/>
      <c r="X22" s="146"/>
      <c r="Y22" s="146"/>
      <c r="Z22" s="146"/>
      <c r="AC22" s="198"/>
      <c r="AD22" s="198"/>
      <c r="AE22" s="198"/>
      <c r="AF22" s="198"/>
      <c r="AG22" s="198"/>
      <c r="AH22" s="198"/>
      <c r="AJ22" s="198"/>
    </row>
    <row r="23" spans="1:36" ht="12.95" customHeight="1">
      <c r="A23" s="156" t="str">
        <f>IF(Sponsor!A23="","",Sponsor!A23)</f>
        <v/>
      </c>
      <c r="B23" s="879" t="s">
        <v>494</v>
      </c>
      <c r="C23" s="763"/>
      <c r="D23" s="25">
        <f>Sponsor!D23</f>
        <v>0</v>
      </c>
      <c r="E23" s="23">
        <f>SUM(E15:E22)+E13</f>
        <v>0</v>
      </c>
      <c r="F23" s="23">
        <f>SUM(F15:F22)+F13</f>
        <v>0</v>
      </c>
      <c r="G23" s="23">
        <f>SUM(G15:G22)+G13</f>
        <v>0</v>
      </c>
      <c r="H23" s="23">
        <f>SUM(H15:H22)+H13</f>
        <v>0</v>
      </c>
      <c r="I23" s="23">
        <f>SUM(I15:I22)+I13</f>
        <v>0</v>
      </c>
      <c r="J23" s="31">
        <f t="shared" si="5"/>
        <v>0</v>
      </c>
      <c r="K23" s="32">
        <f t="shared" si="6"/>
        <v>0</v>
      </c>
      <c r="L23" s="23">
        <f>SUM(L15:L22)+L13</f>
        <v>0</v>
      </c>
      <c r="M23" s="23">
        <f>SUM(M15:M22)+M13</f>
        <v>0</v>
      </c>
      <c r="N23" s="25">
        <f t="shared" si="2"/>
        <v>0</v>
      </c>
      <c r="O23" s="263">
        <f>UMYr1!D23+UMYr2!D23+UMYr3!D23+UMYr4!D23+UMYr5!D23</f>
        <v>0</v>
      </c>
      <c r="P23" s="264">
        <f>UMYr1!J23+UMYr2!J23+UMYr3!J23+UMYr4!J23+UMYr5!J23</f>
        <v>0</v>
      </c>
      <c r="Q23" s="266">
        <f t="shared" si="7"/>
        <v>0</v>
      </c>
      <c r="U23" s="146"/>
      <c r="V23" s="146"/>
      <c r="W23" s="146"/>
      <c r="X23" s="146"/>
      <c r="Y23" s="146"/>
      <c r="Z23" s="146"/>
      <c r="AA23" s="146"/>
      <c r="AC23" s="198"/>
      <c r="AD23" s="198"/>
      <c r="AE23" s="198"/>
      <c r="AF23" s="198"/>
      <c r="AG23" s="198"/>
      <c r="AH23" s="198"/>
      <c r="AJ23" s="198"/>
    </row>
    <row r="24" spans="1:36" ht="12.95" customHeight="1">
      <c r="A24" s="679">
        <f>IF(Sponsor!A24="","",Sponsor!A24)</f>
        <v>54800</v>
      </c>
      <c r="B24" s="679"/>
      <c r="C24" s="37" t="s">
        <v>496</v>
      </c>
      <c r="D24" s="25">
        <f>Sponsor!D24</f>
        <v>0</v>
      </c>
      <c r="E24" s="23">
        <f t="shared" ref="E24:I25" si="8">E73</f>
        <v>0</v>
      </c>
      <c r="F24" s="23">
        <f t="shared" si="8"/>
        <v>0</v>
      </c>
      <c r="G24" s="23">
        <f t="shared" si="8"/>
        <v>0</v>
      </c>
      <c r="H24" s="23">
        <f t="shared" si="8"/>
        <v>0</v>
      </c>
      <c r="I24" s="23">
        <f t="shared" si="8"/>
        <v>0</v>
      </c>
      <c r="J24" s="31">
        <f t="shared" si="5"/>
        <v>0</v>
      </c>
      <c r="K24" s="32">
        <f t="shared" si="6"/>
        <v>0</v>
      </c>
      <c r="L24" s="23">
        <f>L73</f>
        <v>0</v>
      </c>
      <c r="M24" s="23">
        <f>M73</f>
        <v>0</v>
      </c>
      <c r="N24" s="25">
        <f t="shared" si="2"/>
        <v>0</v>
      </c>
      <c r="O24" s="263">
        <f>UMYr1!D24+UMYr2!D24+UMYr3!D24+UMYr4!D24+UMYr5!D24</f>
        <v>0</v>
      </c>
      <c r="P24" s="264">
        <f>UMYr1!J24+UMYr2!J24+UMYr3!J24+UMYr4!J24+UMYr5!J24</f>
        <v>0</v>
      </c>
      <c r="Q24" s="266">
        <f t="shared" si="7"/>
        <v>0</v>
      </c>
      <c r="U24" s="146"/>
      <c r="V24" s="146"/>
      <c r="W24" s="146"/>
      <c r="X24" s="146"/>
      <c r="Y24" s="146"/>
      <c r="Z24" s="146"/>
      <c r="AC24" s="198"/>
      <c r="AD24" s="198"/>
      <c r="AE24" s="198"/>
      <c r="AF24" s="198"/>
      <c r="AG24" s="198"/>
      <c r="AH24" s="198"/>
      <c r="AJ24" s="198"/>
    </row>
    <row r="25" spans="1:36" ht="12.95" customHeight="1">
      <c r="A25" s="679">
        <f>IF(Sponsor!A25="","",Sponsor!A25)</f>
        <v>54810</v>
      </c>
      <c r="B25" s="679"/>
      <c r="C25" s="208" t="s">
        <v>650</v>
      </c>
      <c r="D25" s="25">
        <f>Sponsor!D25</f>
        <v>0</v>
      </c>
      <c r="E25" s="23">
        <f t="shared" si="8"/>
        <v>0</v>
      </c>
      <c r="F25" s="23">
        <f t="shared" si="8"/>
        <v>0</v>
      </c>
      <c r="G25" s="23">
        <f t="shared" si="8"/>
        <v>0</v>
      </c>
      <c r="H25" s="23">
        <f t="shared" si="8"/>
        <v>0</v>
      </c>
      <c r="I25" s="23">
        <f t="shared" si="8"/>
        <v>0</v>
      </c>
      <c r="J25" s="31">
        <f t="shared" si="5"/>
        <v>0</v>
      </c>
      <c r="K25" s="32">
        <f t="shared" si="6"/>
        <v>0</v>
      </c>
      <c r="L25" s="23">
        <f>L74</f>
        <v>0</v>
      </c>
      <c r="M25" s="23">
        <f>M74</f>
        <v>0</v>
      </c>
      <c r="N25" s="25">
        <f t="shared" si="2"/>
        <v>0</v>
      </c>
      <c r="O25" s="263">
        <f>UMYr1!D25+UMYr2!D25+UMYr3!D25+UMYr4!D25+UMYr5!D25</f>
        <v>0</v>
      </c>
      <c r="P25" s="264">
        <f>UMYr1!J25+UMYr2!J25+UMYr3!J25+UMYr4!J25+UMYr5!J25</f>
        <v>0</v>
      </c>
      <c r="Q25" s="266">
        <f t="shared" si="7"/>
        <v>0</v>
      </c>
      <c r="U25" s="146"/>
      <c r="V25" s="146"/>
      <c r="W25" s="146"/>
      <c r="X25" s="146"/>
      <c r="Y25" s="146"/>
      <c r="Z25" s="146"/>
      <c r="AC25" s="198"/>
      <c r="AD25" s="198"/>
      <c r="AE25" s="198"/>
      <c r="AF25" s="198"/>
      <c r="AG25" s="198"/>
      <c r="AH25" s="198"/>
      <c r="AJ25" s="198"/>
    </row>
    <row r="26" spans="1:36" ht="12.95" customHeight="1">
      <c r="A26" s="156" t="str">
        <f>IF(Sponsor!A26="","",Sponsor!A26)</f>
        <v/>
      </c>
      <c r="B26" s="913" t="s">
        <v>502</v>
      </c>
      <c r="C26" s="775"/>
      <c r="D26" s="26">
        <f>Sponsor!D26</f>
        <v>0</v>
      </c>
      <c r="E26" s="34">
        <f>SUM(E23:E25)</f>
        <v>0</v>
      </c>
      <c r="F26" s="34">
        <f>SUM(F23:F25)</f>
        <v>0</v>
      </c>
      <c r="G26" s="34">
        <f>SUM(G23:G25)</f>
        <v>0</v>
      </c>
      <c r="H26" s="34">
        <f>SUM(H23:H25)</f>
        <v>0</v>
      </c>
      <c r="I26" s="34">
        <f>SUM(I23:I25)</f>
        <v>0</v>
      </c>
      <c r="J26" s="31">
        <f t="shared" si="5"/>
        <v>0</v>
      </c>
      <c r="K26" s="32">
        <f t="shared" si="6"/>
        <v>0</v>
      </c>
      <c r="L26" s="34">
        <f>SUM(L23:L25)</f>
        <v>0</v>
      </c>
      <c r="M26" s="34">
        <f>SUM(M23:M25)</f>
        <v>0</v>
      </c>
      <c r="N26" s="26">
        <f t="shared" si="2"/>
        <v>0</v>
      </c>
      <c r="O26" s="263">
        <f>UMYr1!D26+UMYr2!D26+UMYr3!D26+UMYr4!D26+UMYr5!D26</f>
        <v>0</v>
      </c>
      <c r="P26" s="264">
        <f>UMYr1!J26+UMYr2!J26+UMYr3!J26+UMYr4!J26+UMYr5!J26</f>
        <v>0</v>
      </c>
      <c r="Q26" s="266">
        <f t="shared" si="7"/>
        <v>0</v>
      </c>
      <c r="U26" s="146"/>
      <c r="V26" s="146"/>
      <c r="W26" s="146"/>
      <c r="X26" s="146"/>
      <c r="Y26" s="146"/>
      <c r="Z26" s="146"/>
      <c r="AC26" s="198"/>
      <c r="AD26" s="198"/>
      <c r="AE26" s="198"/>
      <c r="AF26" s="198"/>
      <c r="AG26" s="198"/>
      <c r="AH26" s="198"/>
      <c r="AJ26" s="198"/>
    </row>
    <row r="27" spans="1:36" ht="12.95" customHeight="1">
      <c r="A27" s="156" t="str">
        <f>IF(Sponsor!A27="","",Sponsor!A27)</f>
        <v/>
      </c>
      <c r="B27" s="210" t="s">
        <v>651</v>
      </c>
      <c r="C27" s="28"/>
      <c r="D27" s="28"/>
      <c r="E27" s="28"/>
      <c r="F27" s="28"/>
      <c r="G27" s="28"/>
      <c r="H27" s="28"/>
      <c r="I27" s="28"/>
      <c r="J27" s="28"/>
      <c r="K27" s="28"/>
      <c r="L27" s="28"/>
      <c r="M27" s="28"/>
      <c r="N27" s="190"/>
      <c r="O27" s="1051"/>
      <c r="P27" s="1047"/>
      <c r="Q27" s="1028"/>
      <c r="U27" s="146"/>
      <c r="V27" s="146"/>
      <c r="W27" s="146"/>
      <c r="X27" s="146"/>
      <c r="Y27" s="146"/>
      <c r="Z27" s="146"/>
      <c r="AA27" s="146"/>
      <c r="AC27" s="198"/>
      <c r="AD27" s="198"/>
      <c r="AE27" s="198"/>
      <c r="AF27" s="198"/>
      <c r="AG27" s="198"/>
      <c r="AH27" s="198"/>
      <c r="AJ27" s="198"/>
    </row>
    <row r="28" spans="1:36" ht="12.95" customHeight="1">
      <c r="A28" s="679" t="str">
        <f>IF(Sponsor!A28 &lt;&gt;"",Sponsor!A28,"")</f>
        <v/>
      </c>
      <c r="B28" s="679" t="str">
        <f>IF(Sponsor!B28 &lt;&gt;"",Sponsor!B28,"")</f>
        <v/>
      </c>
      <c r="C28" s="680" t="str">
        <f>IF(Sponsor!C28="","",Sponsor!C28)</f>
        <v/>
      </c>
      <c r="D28" s="107">
        <f>Sponsor!D28</f>
        <v>0</v>
      </c>
      <c r="E28" s="9"/>
      <c r="F28" s="9"/>
      <c r="G28" s="9"/>
      <c r="H28" s="9"/>
      <c r="I28" s="9"/>
      <c r="J28" s="40">
        <f>SUM(E28:I28)</f>
        <v>0</v>
      </c>
      <c r="K28" s="32">
        <f t="shared" si="6"/>
        <v>0</v>
      </c>
      <c r="L28" s="9"/>
      <c r="M28" s="9"/>
      <c r="N28" s="24">
        <f t="shared" si="2"/>
        <v>0</v>
      </c>
      <c r="O28" s="263">
        <f>UMYr1!D28+UMYr2!D28+UMYr3!D28+UMYr4!D28+UMYr5!D28</f>
        <v>0</v>
      </c>
      <c r="P28" s="264">
        <f>UMYr1!J28+UMYr2!J28+UMYr3!J28+UMYr4!J28+UMYr5!J28</f>
        <v>0</v>
      </c>
      <c r="Q28" s="266">
        <f>O28+P28</f>
        <v>0</v>
      </c>
      <c r="AC28" s="198"/>
      <c r="AD28" s="198"/>
      <c r="AE28" s="198"/>
      <c r="AF28" s="198"/>
      <c r="AG28" s="198"/>
      <c r="AH28" s="198"/>
      <c r="AJ28" s="198"/>
    </row>
    <row r="29" spans="1:36" ht="12.95" customHeight="1">
      <c r="A29" s="679" t="str">
        <f>IF(Sponsor!A29 &lt;&gt;"",Sponsor!A29,"")</f>
        <v/>
      </c>
      <c r="B29" s="679" t="str">
        <f>IF(Sponsor!B29 &lt;&gt;"",Sponsor!B29,"")</f>
        <v/>
      </c>
      <c r="C29" s="680" t="str">
        <f>IF(Sponsor!C29="","",Sponsor!C29)</f>
        <v/>
      </c>
      <c r="D29" s="108">
        <f>Sponsor!D29</f>
        <v>0</v>
      </c>
      <c r="E29" s="9"/>
      <c r="F29" s="9"/>
      <c r="G29" s="9"/>
      <c r="H29" s="9"/>
      <c r="I29" s="9"/>
      <c r="J29" s="23">
        <f>SUM(E29:I29)</f>
        <v>0</v>
      </c>
      <c r="K29" s="32">
        <f t="shared" si="6"/>
        <v>0</v>
      </c>
      <c r="L29" s="10"/>
      <c r="M29" s="9"/>
      <c r="N29" s="25">
        <f t="shared" si="2"/>
        <v>0</v>
      </c>
      <c r="O29" s="263">
        <f>UMYr1!D29+UMYr2!D29+UMYr3!D29+UMYr4!D29+UMYr5!D29</f>
        <v>0</v>
      </c>
      <c r="P29" s="264">
        <f>UMYr1!J29+UMYr2!J29+UMYr3!J29+UMYr4!J29+UMYr5!J29</f>
        <v>0</v>
      </c>
      <c r="Q29" s="266">
        <f>O29+P29</f>
        <v>0</v>
      </c>
      <c r="AC29" s="198"/>
      <c r="AD29" s="198"/>
      <c r="AE29" s="198"/>
      <c r="AF29" s="198"/>
      <c r="AG29" s="198"/>
      <c r="AH29" s="198"/>
      <c r="AJ29" s="198"/>
    </row>
    <row r="30" spans="1:36" ht="12.95" customHeight="1">
      <c r="A30" s="681" t="s">
        <v>468</v>
      </c>
      <c r="B30" s="879" t="s">
        <v>511</v>
      </c>
      <c r="C30" s="763"/>
      <c r="D30" s="25">
        <f>Sponsor!D30</f>
        <v>0</v>
      </c>
      <c r="E30" s="33">
        <f>E109</f>
        <v>0</v>
      </c>
      <c r="F30" s="23">
        <f>F109</f>
        <v>0</v>
      </c>
      <c r="G30" s="23">
        <f>G109</f>
        <v>0</v>
      </c>
      <c r="H30" s="23">
        <f>H109</f>
        <v>0</v>
      </c>
      <c r="I30" s="23">
        <f>I109</f>
        <v>0</v>
      </c>
      <c r="J30" s="11">
        <f>SUM(E30:I30)</f>
        <v>0</v>
      </c>
      <c r="K30" s="32">
        <f t="shared" si="6"/>
        <v>0</v>
      </c>
      <c r="L30" s="23">
        <f>L109</f>
        <v>0</v>
      </c>
      <c r="M30" s="23">
        <f>M109</f>
        <v>0</v>
      </c>
      <c r="N30" s="25">
        <f t="shared" si="2"/>
        <v>0</v>
      </c>
      <c r="O30" s="263">
        <f>UMYr1!D30+UMYr2!D30+UMYr3!D30+UMYr4!D30+UMYr5!D30</f>
        <v>0</v>
      </c>
      <c r="P30" s="264">
        <f>UMYr1!J30+UMYr2!J30+UMYr3!J30+UMYr4!J30+UMYr5!J30</f>
        <v>0</v>
      </c>
      <c r="Q30" s="266">
        <f>O30+P30</f>
        <v>0</v>
      </c>
      <c r="AC30" s="198"/>
      <c r="AD30" s="198"/>
      <c r="AE30" s="198"/>
      <c r="AF30" s="198"/>
      <c r="AG30" s="198"/>
      <c r="AH30" s="198"/>
      <c r="AJ30" s="198"/>
    </row>
    <row r="31" spans="1:36" ht="12.95" customHeight="1">
      <c r="A31" s="156" t="str">
        <f>IF(Sponsor!A31="","",Sponsor!A31)</f>
        <v/>
      </c>
      <c r="B31" s="873" t="s">
        <v>514</v>
      </c>
      <c r="C31" s="753"/>
      <c r="D31" s="26">
        <f>Sponsor!D31</f>
        <v>0</v>
      </c>
      <c r="E31" s="34">
        <f t="shared" ref="E31:M31" si="9">SUM(E28:E30)</f>
        <v>0</v>
      </c>
      <c r="F31" s="34">
        <f t="shared" si="9"/>
        <v>0</v>
      </c>
      <c r="G31" s="34">
        <f t="shared" si="9"/>
        <v>0</v>
      </c>
      <c r="H31" s="34">
        <f t="shared" si="9"/>
        <v>0</v>
      </c>
      <c r="I31" s="34">
        <f t="shared" si="9"/>
        <v>0</v>
      </c>
      <c r="J31" s="31">
        <f>SUM(E31:I31)</f>
        <v>0</v>
      </c>
      <c r="K31" s="32">
        <f t="shared" si="6"/>
        <v>0</v>
      </c>
      <c r="L31" s="34">
        <f t="shared" si="9"/>
        <v>0</v>
      </c>
      <c r="M31" s="34">
        <f t="shared" si="9"/>
        <v>0</v>
      </c>
      <c r="N31" s="26">
        <f t="shared" si="2"/>
        <v>0</v>
      </c>
      <c r="O31" s="263">
        <f>UMYr1!D31+UMYr2!D31+UMYr3!D31+UMYr4!D31+UMYr5!D31</f>
        <v>0</v>
      </c>
      <c r="P31" s="264">
        <f>UMYr1!J31+UMYr2!J31+UMYr3!J31+UMYr4!J31+UMYr5!J31</f>
        <v>0</v>
      </c>
      <c r="Q31" s="266">
        <f>O31+P31</f>
        <v>0</v>
      </c>
      <c r="AC31" s="198"/>
      <c r="AD31" s="198"/>
      <c r="AE31" s="198"/>
      <c r="AF31" s="198"/>
      <c r="AG31" s="198"/>
      <c r="AH31" s="198"/>
      <c r="AI31" s="235"/>
      <c r="AJ31" s="198"/>
    </row>
    <row r="32" spans="1:36" ht="12.95" customHeight="1">
      <c r="A32" s="156" t="str">
        <f>IF(Sponsor!A32="","",Sponsor!A32)</f>
        <v/>
      </c>
      <c r="B32" s="82" t="s">
        <v>652</v>
      </c>
      <c r="C32" s="28"/>
      <c r="D32" s="28"/>
      <c r="E32" s="28"/>
      <c r="F32" s="28"/>
      <c r="G32" s="28"/>
      <c r="H32" s="28"/>
      <c r="I32" s="28"/>
      <c r="J32" s="28"/>
      <c r="K32" s="28"/>
      <c r="L32" s="28"/>
      <c r="M32" s="28"/>
      <c r="N32" s="190"/>
      <c r="O32" s="1051"/>
      <c r="P32" s="1047"/>
      <c r="Q32" s="1028"/>
      <c r="AC32" s="198"/>
      <c r="AD32" s="198"/>
      <c r="AE32" s="198"/>
      <c r="AF32" s="198"/>
      <c r="AG32" s="198"/>
      <c r="AH32" s="198"/>
      <c r="AI32" s="235"/>
      <c r="AJ32" s="198"/>
    </row>
    <row r="33" spans="1:36" ht="12.95" customHeight="1">
      <c r="A33" s="679">
        <f>IF(Sponsor!A33="","",Sponsor!A33)</f>
        <v>61400</v>
      </c>
      <c r="B33" s="679" t="str">
        <f>IF(Sponsor!B33 &lt;&gt;"",Sponsor!B33,"")</f>
        <v/>
      </c>
      <c r="C33" s="39" t="s">
        <v>518</v>
      </c>
      <c r="D33" s="105">
        <f>Sponsor!D33</f>
        <v>0</v>
      </c>
      <c r="E33" s="8"/>
      <c r="F33" s="8"/>
      <c r="G33" s="8"/>
      <c r="H33" s="8"/>
      <c r="I33" s="8"/>
      <c r="J33" s="31">
        <f>SUM(E33:I33)</f>
        <v>0</v>
      </c>
      <c r="K33" s="32">
        <f t="shared" si="6"/>
        <v>0</v>
      </c>
      <c r="L33" s="8"/>
      <c r="M33" s="8"/>
      <c r="N33" s="30">
        <f t="shared" si="2"/>
        <v>0</v>
      </c>
      <c r="O33" s="263">
        <f>UMYr1!D33+UMYr2!D33+UMYr3!D33+UMYr4!D33+UMYr5!D33</f>
        <v>0</v>
      </c>
      <c r="P33" s="264">
        <f>UMYr1!J33+UMYr2!J33+UMYr3!J33+UMYr4!J33+UMYr5!J33</f>
        <v>0</v>
      </c>
      <c r="Q33" s="266">
        <f>O33+P33</f>
        <v>0</v>
      </c>
      <c r="AC33" s="198"/>
      <c r="AD33" s="198"/>
      <c r="AE33" s="198"/>
      <c r="AF33" s="198"/>
      <c r="AG33" s="198"/>
      <c r="AH33" s="198"/>
      <c r="AJ33" s="198"/>
    </row>
    <row r="34" spans="1:36" ht="12.95" customHeight="1">
      <c r="A34" s="679">
        <f>IF(Sponsor!A34="","",Sponsor!A34)</f>
        <v>61500</v>
      </c>
      <c r="B34" s="679" t="str">
        <f>IF(Sponsor!B34 &lt;&gt;"",Sponsor!B34,"")</f>
        <v/>
      </c>
      <c r="C34" s="27" t="s">
        <v>519</v>
      </c>
      <c r="D34" s="106">
        <f>Sponsor!D34</f>
        <v>0</v>
      </c>
      <c r="E34" s="8"/>
      <c r="F34" s="8"/>
      <c r="G34" s="8"/>
      <c r="H34" s="8"/>
      <c r="I34" s="8"/>
      <c r="J34" s="31">
        <f>SUM(E34:I34)</f>
        <v>0</v>
      </c>
      <c r="K34" s="32">
        <f t="shared" si="6"/>
        <v>0</v>
      </c>
      <c r="L34" s="8"/>
      <c r="M34" s="8"/>
      <c r="N34" s="32">
        <f t="shared" si="2"/>
        <v>0</v>
      </c>
      <c r="O34" s="263">
        <f>UMYr1!D34+UMYr2!D34+UMYr3!D34+UMYr4!D34+UMYr5!D34</f>
        <v>0</v>
      </c>
      <c r="P34" s="264">
        <f>UMYr1!J34+UMYr2!J34+UMYr3!J34+UMYr4!J34+UMYr5!J34</f>
        <v>0</v>
      </c>
      <c r="Q34" s="266">
        <f>O34+P34</f>
        <v>0</v>
      </c>
      <c r="AC34" s="198"/>
      <c r="AD34" s="198"/>
      <c r="AE34" s="198"/>
      <c r="AF34" s="198"/>
      <c r="AG34" s="198"/>
      <c r="AH34" s="198"/>
      <c r="AJ34" s="198"/>
    </row>
    <row r="35" spans="1:36" ht="12.95" customHeight="1">
      <c r="A35" s="679">
        <f>IF(Sponsor!A35="","",Sponsor!A35)</f>
        <v>61600</v>
      </c>
      <c r="B35" s="679" t="str">
        <f>IF(Sponsor!B35 &lt;&gt;"",Sponsor!B35,"")</f>
        <v/>
      </c>
      <c r="C35" s="27" t="s">
        <v>520</v>
      </c>
      <c r="D35" s="106">
        <f>Sponsor!D35</f>
        <v>0</v>
      </c>
      <c r="E35" s="8"/>
      <c r="F35" s="8"/>
      <c r="G35" s="8"/>
      <c r="H35" s="8"/>
      <c r="I35" s="8"/>
      <c r="J35" s="31">
        <f>SUM(E35:I35)</f>
        <v>0</v>
      </c>
      <c r="K35" s="32">
        <f t="shared" si="6"/>
        <v>0</v>
      </c>
      <c r="L35" s="8"/>
      <c r="M35" s="8"/>
      <c r="N35" s="32">
        <f t="shared" si="2"/>
        <v>0</v>
      </c>
      <c r="O35" s="263">
        <f>UMYr1!D35+UMYr2!D35+UMYr3!D35+UMYr4!D35+UMYr5!D35</f>
        <v>0</v>
      </c>
      <c r="P35" s="264">
        <f>UMYr1!J35+UMYr2!J35+UMYr3!J35+UMYr4!J35+UMYr5!J35</f>
        <v>0</v>
      </c>
      <c r="Q35" s="266">
        <f>O35+P35</f>
        <v>0</v>
      </c>
      <c r="AC35" s="198"/>
      <c r="AD35" s="198"/>
      <c r="AE35" s="198"/>
      <c r="AF35" s="198"/>
      <c r="AG35" s="198"/>
      <c r="AH35" s="198"/>
      <c r="AJ35" s="198"/>
    </row>
    <row r="36" spans="1:36" ht="12.95" customHeight="1">
      <c r="A36" s="156" t="str">
        <f>IF(Sponsor!A36="","",Sponsor!A36)</f>
        <v/>
      </c>
      <c r="B36" s="873" t="s">
        <v>521</v>
      </c>
      <c r="C36" s="753"/>
      <c r="D36" s="41">
        <f>Sponsor!D36</f>
        <v>0</v>
      </c>
      <c r="E36" s="42">
        <f t="shared" ref="E36:M36" si="10">SUM(E33:E35)</f>
        <v>0</v>
      </c>
      <c r="F36" s="42">
        <f t="shared" si="10"/>
        <v>0</v>
      </c>
      <c r="G36" s="42">
        <f t="shared" si="10"/>
        <v>0</v>
      </c>
      <c r="H36" s="42">
        <f t="shared" si="10"/>
        <v>0</v>
      </c>
      <c r="I36" s="42">
        <f t="shared" si="10"/>
        <v>0</v>
      </c>
      <c r="J36" s="31">
        <f>SUM(E36:I36)</f>
        <v>0</v>
      </c>
      <c r="K36" s="32">
        <f t="shared" si="6"/>
        <v>0</v>
      </c>
      <c r="L36" s="42">
        <f t="shared" si="10"/>
        <v>0</v>
      </c>
      <c r="M36" s="42">
        <f t="shared" si="10"/>
        <v>0</v>
      </c>
      <c r="N36" s="41">
        <f t="shared" si="2"/>
        <v>0</v>
      </c>
      <c r="O36" s="263">
        <f>UMYr1!D36+UMYr2!D36+UMYr3!D36+UMYr4!D36+UMYr5!D36</f>
        <v>0</v>
      </c>
      <c r="P36" s="264">
        <f>UMYr1!J36+UMYr2!J36+UMYr3!J36+UMYr4!J36+UMYr5!J36</f>
        <v>0</v>
      </c>
      <c r="Q36" s="266">
        <f>O36+P36</f>
        <v>0</v>
      </c>
      <c r="AC36" s="198"/>
      <c r="AD36" s="198"/>
      <c r="AE36" s="198"/>
      <c r="AF36" s="198"/>
      <c r="AG36" s="198"/>
      <c r="AH36" s="198"/>
      <c r="AJ36" s="198"/>
    </row>
    <row r="37" spans="1:36" ht="12.95" customHeight="1">
      <c r="A37" s="156" t="str">
        <f>IF(Sponsor!A37="","",Sponsor!A37)</f>
        <v/>
      </c>
      <c r="B37" s="82" t="s">
        <v>653</v>
      </c>
      <c r="C37" s="28"/>
      <c r="D37" s="28"/>
      <c r="E37" s="28"/>
      <c r="F37" s="28"/>
      <c r="G37" s="28"/>
      <c r="H37" s="28"/>
      <c r="I37" s="28"/>
      <c r="J37" s="28"/>
      <c r="K37" s="28"/>
      <c r="L37" s="28"/>
      <c r="M37" s="28"/>
      <c r="N37" s="190"/>
      <c r="O37" s="1051"/>
      <c r="P37" s="1047"/>
      <c r="Q37" s="1028"/>
      <c r="AC37" s="198"/>
      <c r="AD37" s="198"/>
      <c r="AE37" s="198"/>
      <c r="AF37" s="198"/>
      <c r="AG37" s="198"/>
      <c r="AH37" s="198"/>
      <c r="AJ37" s="198"/>
    </row>
    <row r="38" spans="1:36" ht="12.95" customHeight="1">
      <c r="A38" s="679">
        <f>IF(Sponsor!A38="","",Sponsor!A38)</f>
        <v>60206</v>
      </c>
      <c r="B38" s="679" t="str">
        <f>IF(Sponsor!B38 &lt;&gt;"",Sponsor!B38,"")</f>
        <v/>
      </c>
      <c r="C38" s="39" t="s">
        <v>523</v>
      </c>
      <c r="D38" s="105">
        <f>Sponsor!D38</f>
        <v>0</v>
      </c>
      <c r="E38" s="8"/>
      <c r="F38" s="8"/>
      <c r="G38" s="8"/>
      <c r="H38" s="8"/>
      <c r="I38" s="8"/>
      <c r="J38" s="31">
        <f>SUM(E38:I38)</f>
        <v>0</v>
      </c>
      <c r="K38" s="32">
        <f t="shared" si="6"/>
        <v>0</v>
      </c>
      <c r="L38" s="8"/>
      <c r="M38" s="8"/>
      <c r="N38" s="30">
        <f t="shared" si="2"/>
        <v>0</v>
      </c>
      <c r="O38" s="263">
        <f>UMYr1!D38+UMYr2!D38+UMYr3!D38+UMYr4!D38+UMYr5!D38</f>
        <v>0</v>
      </c>
      <c r="P38" s="264">
        <f>UMYr1!J38+UMYr2!J38+UMYr3!J38+UMYr4!J38+UMYr5!J38</f>
        <v>0</v>
      </c>
      <c r="Q38" s="266">
        <f>O38+P38</f>
        <v>0</v>
      </c>
      <c r="AC38" s="198"/>
      <c r="AD38" s="198"/>
      <c r="AE38" s="198"/>
      <c r="AF38" s="198"/>
      <c r="AG38" s="198"/>
      <c r="AH38" s="198"/>
      <c r="AJ38" s="198"/>
    </row>
    <row r="39" spans="1:36" ht="12.95" customHeight="1">
      <c r="A39" s="679">
        <f>IF(Sponsor!A39="","",Sponsor!A39)</f>
        <v>60204</v>
      </c>
      <c r="B39" s="679" t="str">
        <f>IF(Sponsor!B39 &lt;&gt;"",Sponsor!B39,"")</f>
        <v/>
      </c>
      <c r="C39" s="138" t="s">
        <v>654</v>
      </c>
      <c r="D39" s="106">
        <f>Sponsor!D39</f>
        <v>0</v>
      </c>
      <c r="E39" s="8"/>
      <c r="F39" s="8"/>
      <c r="G39" s="8"/>
      <c r="H39" s="8"/>
      <c r="I39" s="8"/>
      <c r="J39" s="31">
        <f>SUM(E39:I39)</f>
        <v>0</v>
      </c>
      <c r="K39" s="32">
        <f t="shared" si="6"/>
        <v>0</v>
      </c>
      <c r="L39" s="8"/>
      <c r="M39" s="8"/>
      <c r="N39" s="32">
        <f t="shared" si="2"/>
        <v>0</v>
      </c>
      <c r="O39" s="263">
        <f>UMYr1!D39+UMYr2!D39+UMYr3!D39+UMYr4!D39+UMYr5!D39</f>
        <v>0</v>
      </c>
      <c r="P39" s="264">
        <f>UMYr1!J39+UMYr2!J39+UMYr3!J39+UMYr4!J39+UMYr5!J39</f>
        <v>0</v>
      </c>
      <c r="Q39" s="266">
        <f>O39+P39</f>
        <v>0</v>
      </c>
      <c r="AC39" s="198"/>
      <c r="AD39" s="198"/>
      <c r="AE39" s="198"/>
      <c r="AF39" s="198"/>
      <c r="AG39" s="198"/>
      <c r="AH39" s="198"/>
      <c r="AJ39" s="198"/>
    </row>
    <row r="40" spans="1:36" ht="12.95" customHeight="1">
      <c r="A40" s="679">
        <f>IF(Sponsor!A40="","",Sponsor!A40)</f>
        <v>60201</v>
      </c>
      <c r="B40" s="679" t="str">
        <f>IF(Sponsor!B40 &lt;&gt;"",Sponsor!B40,"")</f>
        <v/>
      </c>
      <c r="C40" s="27" t="s">
        <v>526</v>
      </c>
      <c r="D40" s="106">
        <f>Sponsor!D40</f>
        <v>0</v>
      </c>
      <c r="E40" s="8"/>
      <c r="F40" s="8"/>
      <c r="G40" s="8"/>
      <c r="H40" s="8"/>
      <c r="I40" s="8"/>
      <c r="J40" s="31">
        <f>SUM(E40:I40)</f>
        <v>0</v>
      </c>
      <c r="K40" s="32">
        <f t="shared" si="6"/>
        <v>0</v>
      </c>
      <c r="L40" s="8"/>
      <c r="M40" s="8"/>
      <c r="N40" s="32">
        <f t="shared" si="2"/>
        <v>0</v>
      </c>
      <c r="O40" s="263">
        <f>UMYr1!D40+UMYr2!D40+UMYr3!D40+UMYr4!D40+UMYr5!D40</f>
        <v>0</v>
      </c>
      <c r="P40" s="264">
        <f>UMYr1!J40+UMYr2!J40+UMYr3!J40+UMYr4!J40+UMYr5!J40</f>
        <v>0</v>
      </c>
      <c r="Q40" s="266">
        <f>O40+P40</f>
        <v>0</v>
      </c>
      <c r="AC40" s="198"/>
      <c r="AD40" s="198"/>
      <c r="AE40" s="198"/>
      <c r="AF40" s="198"/>
      <c r="AG40" s="198"/>
      <c r="AH40" s="198"/>
      <c r="AJ40" s="198"/>
    </row>
    <row r="41" spans="1:36" ht="12.95" customHeight="1">
      <c r="A41" s="679">
        <f>IF(Sponsor!A41="","",Sponsor!A41)</f>
        <v>60200</v>
      </c>
      <c r="B41" s="679" t="str">
        <f>IF(Sponsor!B41 &lt;&gt;"",Sponsor!B41,"")</f>
        <v/>
      </c>
      <c r="C41" s="27" t="s">
        <v>13</v>
      </c>
      <c r="D41" s="106">
        <f>Sponsor!D41</f>
        <v>0</v>
      </c>
      <c r="E41" s="8"/>
      <c r="F41" s="8"/>
      <c r="G41" s="8"/>
      <c r="H41" s="8"/>
      <c r="I41" s="8"/>
      <c r="J41" s="31">
        <f>SUM(E41:I41)</f>
        <v>0</v>
      </c>
      <c r="K41" s="32">
        <f t="shared" si="6"/>
        <v>0</v>
      </c>
      <c r="L41" s="8"/>
      <c r="M41" s="8"/>
      <c r="N41" s="32">
        <f t="shared" si="2"/>
        <v>0</v>
      </c>
      <c r="O41" s="263">
        <f>UMYr1!D41+UMYr2!D41+UMYr3!D41+UMYr4!D41+UMYr5!D41</f>
        <v>0</v>
      </c>
      <c r="P41" s="264">
        <f>UMYr1!J41+UMYr2!J41+UMYr3!J41+UMYr4!J41+UMYr5!J41</f>
        <v>0</v>
      </c>
      <c r="Q41" s="266">
        <f>O41+P41</f>
        <v>0</v>
      </c>
      <c r="AC41" s="198"/>
      <c r="AD41" s="198"/>
      <c r="AE41" s="198"/>
      <c r="AF41" s="198"/>
      <c r="AG41" s="198"/>
      <c r="AH41" s="198"/>
      <c r="AJ41" s="198"/>
    </row>
    <row r="42" spans="1:36" ht="12.95" customHeight="1">
      <c r="A42" s="156" t="str">
        <f>IF(Sponsor!A42="","",Sponsor!A42)</f>
        <v/>
      </c>
      <c r="B42" s="873" t="s">
        <v>527</v>
      </c>
      <c r="C42" s="753"/>
      <c r="D42" s="26">
        <f>Sponsor!D42</f>
        <v>0</v>
      </c>
      <c r="E42" s="34">
        <f>SUM(E38:E41)</f>
        <v>0</v>
      </c>
      <c r="F42" s="34">
        <f>SUM(F38:F41)</f>
        <v>0</v>
      </c>
      <c r="G42" s="34">
        <f>SUM(G38:G41)</f>
        <v>0</v>
      </c>
      <c r="H42" s="34">
        <f>SUM(H38:H41)</f>
        <v>0</v>
      </c>
      <c r="I42" s="34">
        <f>SUM(I38:I41)</f>
        <v>0</v>
      </c>
      <c r="J42" s="31">
        <f>SUM(E42:I42)</f>
        <v>0</v>
      </c>
      <c r="K42" s="32">
        <f t="shared" si="6"/>
        <v>0</v>
      </c>
      <c r="L42" s="34">
        <f>SUM(L38:L41)</f>
        <v>0</v>
      </c>
      <c r="M42" s="34">
        <f>SUM(M38:M41)</f>
        <v>0</v>
      </c>
      <c r="N42" s="26">
        <f t="shared" si="2"/>
        <v>0</v>
      </c>
      <c r="O42" s="263">
        <f>UMYr1!D42+UMYr2!D42+UMYr3!D42+UMYr4!D42+UMYr5!D42</f>
        <v>0</v>
      </c>
      <c r="P42" s="264">
        <f>UMYr1!J42+UMYr2!J42+UMYr3!J42+UMYr4!J42+UMYr5!J42</f>
        <v>0</v>
      </c>
      <c r="Q42" s="266">
        <f>O42+P42</f>
        <v>0</v>
      </c>
      <c r="AC42" s="198"/>
      <c r="AD42" s="198"/>
      <c r="AE42" s="198"/>
      <c r="AF42" s="198"/>
      <c r="AG42" s="198"/>
      <c r="AH42" s="198"/>
      <c r="AJ42" s="198"/>
    </row>
    <row r="43" spans="1:36" ht="12.95" customHeight="1">
      <c r="A43" s="156" t="str">
        <f>IF(Sponsor!A43="","",Sponsor!A43)</f>
        <v/>
      </c>
      <c r="B43" s="82" t="s">
        <v>655</v>
      </c>
      <c r="C43" s="28"/>
      <c r="D43" s="28"/>
      <c r="E43" s="28"/>
      <c r="F43" s="28"/>
      <c r="G43" s="28"/>
      <c r="H43" s="28"/>
      <c r="I43" s="28"/>
      <c r="J43" s="28"/>
      <c r="K43" s="28"/>
      <c r="L43" s="28"/>
      <c r="M43" s="28"/>
      <c r="N43" s="190"/>
      <c r="O43" s="1051"/>
      <c r="P43" s="1047"/>
      <c r="Q43" s="1028"/>
      <c r="AJ43" s="198"/>
    </row>
    <row r="44" spans="1:36" ht="12.95" customHeight="1">
      <c r="A44" s="679">
        <f>IF(Sponsor!A44="","",Sponsor!A44)</f>
        <v>61000</v>
      </c>
      <c r="B44" s="679" t="str">
        <f>IF(Sponsor!B44 &lt;&gt;"",Sponsor!B44,"")</f>
        <v/>
      </c>
      <c r="C44" s="39" t="str">
        <f>Sponsor!C44</f>
        <v>Materials &amp; Supplies</v>
      </c>
      <c r="D44" s="105">
        <f>Sponsor!D44</f>
        <v>0</v>
      </c>
      <c r="E44" s="8"/>
      <c r="F44" s="8"/>
      <c r="G44" s="8"/>
      <c r="H44" s="8"/>
      <c r="I44" s="8"/>
      <c r="J44" s="31">
        <f t="shared" ref="J44:J53" si="11">SUM(E44:I44)</f>
        <v>0</v>
      </c>
      <c r="K44" s="32">
        <f t="shared" si="6"/>
        <v>0</v>
      </c>
      <c r="L44" s="8"/>
      <c r="M44" s="8"/>
      <c r="N44" s="30">
        <f t="shared" si="2"/>
        <v>0</v>
      </c>
      <c r="O44" s="263">
        <f>UMYr1!D44+UMYr2!D44+UMYr3!D44+UMYr4!D44+UMYr5!D44</f>
        <v>0</v>
      </c>
      <c r="P44" s="264">
        <f>UMYr1!J44+UMYr2!J44+UMYr3!J44+UMYr4!J44+UMYr5!J44</f>
        <v>0</v>
      </c>
      <c r="Q44" s="266">
        <f t="shared" ref="Q44:Q53" si="12">O44+P44</f>
        <v>0</v>
      </c>
      <c r="AJ44" s="198"/>
    </row>
    <row r="45" spans="1:36" ht="12.95" customHeight="1">
      <c r="A45" s="679">
        <f>IF(Sponsor!A45="","",Sponsor!A45)</f>
        <v>60002</v>
      </c>
      <c r="B45" s="679" t="str">
        <f>IF(Sponsor!B45 &lt;&gt;"",Sponsor!B45,"")</f>
        <v/>
      </c>
      <c r="C45" s="27" t="str">
        <f>Sponsor!C45</f>
        <v>Consultant Services</v>
      </c>
      <c r="D45" s="106">
        <f>Sponsor!D45</f>
        <v>0</v>
      </c>
      <c r="E45" s="8"/>
      <c r="F45" s="8"/>
      <c r="G45" s="8"/>
      <c r="H45" s="8"/>
      <c r="I45" s="8"/>
      <c r="J45" s="31">
        <f t="shared" si="11"/>
        <v>0</v>
      </c>
      <c r="K45" s="32">
        <f t="shared" si="6"/>
        <v>0</v>
      </c>
      <c r="L45" s="8"/>
      <c r="M45" s="8"/>
      <c r="N45" s="32">
        <f t="shared" si="2"/>
        <v>0</v>
      </c>
      <c r="O45" s="263">
        <f>UMYr1!D45+UMYr2!D45+UMYr3!D45+UMYr4!D45+UMYr5!D45</f>
        <v>0</v>
      </c>
      <c r="P45" s="264">
        <f>UMYr1!J45+UMYr2!J45+UMYr3!J45+UMYr4!J45+UMYr5!J45</f>
        <v>0</v>
      </c>
      <c r="Q45" s="266">
        <f t="shared" si="12"/>
        <v>0</v>
      </c>
      <c r="AC45" s="198"/>
      <c r="AD45" s="198"/>
      <c r="AE45" s="198"/>
      <c r="AF45" s="198"/>
      <c r="AG45" s="198"/>
      <c r="AH45" s="198"/>
      <c r="AJ45" s="198"/>
    </row>
    <row r="46" spans="1:36" ht="12.95" customHeight="1">
      <c r="A46" s="679">
        <f>IF(Sponsor!A46="","",Sponsor!A46)</f>
        <v>60100</v>
      </c>
      <c r="B46" s="679" t="str">
        <f>IF(Sponsor!B46 &lt;&gt;"",Sponsor!B46,"")</f>
        <v/>
      </c>
      <c r="C46" s="27" t="str">
        <f>Sponsor!C46</f>
        <v>Professional Services</v>
      </c>
      <c r="D46" s="106">
        <f>Sponsor!D46</f>
        <v>0</v>
      </c>
      <c r="E46" s="8"/>
      <c r="F46" s="8"/>
      <c r="G46" s="8"/>
      <c r="H46" s="8"/>
      <c r="I46" s="8"/>
      <c r="J46" s="31">
        <f t="shared" si="11"/>
        <v>0</v>
      </c>
      <c r="K46" s="32">
        <f t="shared" si="6"/>
        <v>0</v>
      </c>
      <c r="L46" s="8"/>
      <c r="M46" s="8"/>
      <c r="N46" s="32">
        <f t="shared" si="2"/>
        <v>0</v>
      </c>
      <c r="O46" s="263">
        <f>UMYr1!D46+UMYr2!D46+UMYr3!D46+UMYr4!D46+UMYr5!D46</f>
        <v>0</v>
      </c>
      <c r="P46" s="264">
        <f>UMYr1!J46+UMYr2!J46+UMYr3!J46+UMYr4!J46+UMYr5!J46</f>
        <v>0</v>
      </c>
      <c r="Q46" s="266">
        <f t="shared" si="12"/>
        <v>0</v>
      </c>
      <c r="AC46" s="198"/>
      <c r="AD46" s="198"/>
      <c r="AE46" s="198"/>
      <c r="AF46" s="198"/>
      <c r="AG46" s="198"/>
      <c r="AH46" s="198"/>
      <c r="AJ46" s="198"/>
    </row>
    <row r="47" spans="1:36" ht="12.95" customHeight="1">
      <c r="A47" s="679">
        <f>IF(Sponsor!A47="","",Sponsor!A47)</f>
        <v>62000</v>
      </c>
      <c r="B47" s="679" t="str">
        <f>IF(Sponsor!B47 &lt;&gt;"",Sponsor!B47,"")</f>
        <v/>
      </c>
      <c r="C47" s="27" t="str">
        <f>Sponsor!C47</f>
        <v>Non-Capital Equipment</v>
      </c>
      <c r="D47" s="106">
        <f>Sponsor!D47</f>
        <v>0</v>
      </c>
      <c r="E47" s="8"/>
      <c r="F47" s="8"/>
      <c r="G47" s="8"/>
      <c r="H47" s="8"/>
      <c r="I47" s="8"/>
      <c r="J47" s="31">
        <f t="shared" si="11"/>
        <v>0</v>
      </c>
      <c r="K47" s="32">
        <f t="shared" si="6"/>
        <v>0</v>
      </c>
      <c r="L47" s="8"/>
      <c r="M47" s="8"/>
      <c r="N47" s="32">
        <f t="shared" si="2"/>
        <v>0</v>
      </c>
      <c r="O47" s="263">
        <f>UMYr1!D47+UMYr2!D47+UMYr3!D47+UMYr4!D47+UMYr5!D47</f>
        <v>0</v>
      </c>
      <c r="P47" s="264">
        <f>UMYr1!J47+UMYr2!J47+UMYr3!J47+UMYr4!J47+UMYr5!J47</f>
        <v>0</v>
      </c>
      <c r="Q47" s="266">
        <f t="shared" si="12"/>
        <v>0</v>
      </c>
      <c r="AC47" s="198"/>
      <c r="AD47" s="198"/>
      <c r="AE47" s="198"/>
      <c r="AF47" s="198"/>
      <c r="AG47" s="198"/>
      <c r="AH47" s="198"/>
      <c r="AJ47" s="198"/>
    </row>
    <row r="48" spans="1:36" ht="12.95" customHeight="1">
      <c r="A48" s="679" t="str">
        <f>IF(Sponsor!A48="","",Sponsor!A48)</f>
        <v/>
      </c>
      <c r="B48" s="679" t="str">
        <f>IF(Sponsor!B48 &lt;&gt;"",Sponsor!B48,"")</f>
        <v/>
      </c>
      <c r="C48" s="27" t="str">
        <f>Sponsor!C48</f>
        <v>Subrecipients (enter below)</v>
      </c>
      <c r="D48" s="25">
        <f>Sponsor!D48</f>
        <v>0</v>
      </c>
      <c r="E48" s="129">
        <f>E183</f>
        <v>0</v>
      </c>
      <c r="F48" s="129">
        <f>F183</f>
        <v>0</v>
      </c>
      <c r="G48" s="129">
        <f>G183</f>
        <v>0</v>
      </c>
      <c r="H48" s="129">
        <f>H183</f>
        <v>0</v>
      </c>
      <c r="I48" s="129">
        <f>I183</f>
        <v>0</v>
      </c>
      <c r="J48" s="267">
        <f t="shared" si="11"/>
        <v>0</v>
      </c>
      <c r="K48" s="113">
        <f>D48+J48</f>
        <v>0</v>
      </c>
      <c r="L48" s="114">
        <f>L183</f>
        <v>0</v>
      </c>
      <c r="M48" s="114">
        <f>M183</f>
        <v>0</v>
      </c>
      <c r="N48" s="25">
        <f t="shared" si="2"/>
        <v>0</v>
      </c>
      <c r="O48" s="263">
        <f>UMYr1!D48+UMYr2!D48+UMYr3!D48+UMYr4!D48+UMYr5!D48</f>
        <v>0</v>
      </c>
      <c r="P48" s="268">
        <f>J48+UMYr2!J48+UMYr3!J48+UMYr4!J48+UMYr5!J48</f>
        <v>0</v>
      </c>
      <c r="Q48" s="266">
        <f t="shared" si="12"/>
        <v>0</v>
      </c>
      <c r="AC48" s="198"/>
      <c r="AD48" s="198"/>
      <c r="AE48" s="198"/>
      <c r="AF48" s="198"/>
      <c r="AG48" s="198"/>
      <c r="AH48" s="198"/>
      <c r="AJ48" s="198"/>
    </row>
    <row r="49" spans="1:36" ht="12.95" customHeight="1">
      <c r="A49" s="679">
        <f>IF(Sponsor!A49="","",Sponsor!A49)</f>
        <v>55300</v>
      </c>
      <c r="B49" s="679" t="str">
        <f>IF(Sponsor!B49 &lt;&gt;"",Sponsor!B49,"")</f>
        <v/>
      </c>
      <c r="C49" s="27" t="str">
        <f>Sponsor!C49</f>
        <v>Tuition</v>
      </c>
      <c r="D49" s="106">
        <f>Sponsor!D49</f>
        <v>0</v>
      </c>
      <c r="E49" s="8"/>
      <c r="F49" s="8"/>
      <c r="G49" s="8"/>
      <c r="H49" s="8"/>
      <c r="I49" s="8"/>
      <c r="J49" s="31">
        <f t="shared" si="11"/>
        <v>0</v>
      </c>
      <c r="K49" s="32">
        <f t="shared" si="6"/>
        <v>0</v>
      </c>
      <c r="L49" s="8"/>
      <c r="M49" s="8"/>
      <c r="N49" s="32">
        <f t="shared" si="2"/>
        <v>0</v>
      </c>
      <c r="O49" s="263">
        <f>UMYr1!D49+UMYr2!D49+UMYr3!D49+UMYr4!D49+UMYr5!D49</f>
        <v>0</v>
      </c>
      <c r="P49" s="264">
        <f>UMYr1!J49+UMYr2!J49+UMYr3!J49+UMYr4!J49+UMYr5!J49</f>
        <v>0</v>
      </c>
      <c r="Q49" s="266">
        <f t="shared" si="12"/>
        <v>0</v>
      </c>
      <c r="AC49" s="198"/>
      <c r="AD49" s="198"/>
      <c r="AE49" s="198"/>
      <c r="AF49" s="198"/>
      <c r="AG49" s="198"/>
      <c r="AH49" s="198"/>
      <c r="AJ49" s="198"/>
    </row>
    <row r="50" spans="1:36" ht="12.95" customHeight="1">
      <c r="A50" s="679">
        <f>IF(Sponsor!A50="","",Sponsor!A50)</f>
        <v>54113</v>
      </c>
      <c r="B50" s="679" t="str">
        <f>IF(Sponsor!B50 &lt;&gt;"",Sponsor!B50,"")</f>
        <v/>
      </c>
      <c r="C50" s="27" t="str">
        <f>Sponsor!C50</f>
        <v>Grad Student Health Insurance</v>
      </c>
      <c r="D50" s="106">
        <f>Sponsor!D50</f>
        <v>0</v>
      </c>
      <c r="E50" s="8"/>
      <c r="F50" s="8"/>
      <c r="G50" s="8"/>
      <c r="H50" s="8"/>
      <c r="I50" s="8"/>
      <c r="J50" s="31">
        <f t="shared" si="11"/>
        <v>0</v>
      </c>
      <c r="K50" s="32">
        <f>D50+J50</f>
        <v>0</v>
      </c>
      <c r="L50" s="8"/>
      <c r="M50" s="8"/>
      <c r="N50" s="32">
        <f t="shared" si="2"/>
        <v>0</v>
      </c>
      <c r="O50" s="263">
        <f>UMYr1!D50+UMYr2!D50+UMYr3!D50+UMYr4!D50+UMYr5!D50</f>
        <v>0</v>
      </c>
      <c r="P50" s="264">
        <f>UMYr1!J50+UMYr2!J50+UMYr3!J50+UMYr4!J50+UMYr5!J50</f>
        <v>0</v>
      </c>
      <c r="Q50" s="266">
        <f t="shared" si="12"/>
        <v>0</v>
      </c>
      <c r="AC50" s="198"/>
      <c r="AD50" s="198"/>
      <c r="AE50" s="198"/>
      <c r="AF50" s="198"/>
      <c r="AG50" s="198"/>
      <c r="AH50" s="198"/>
      <c r="AJ50" s="198"/>
    </row>
    <row r="51" spans="1:36" ht="12.95" customHeight="1">
      <c r="A51" s="681" t="s">
        <v>468</v>
      </c>
      <c r="B51" s="682"/>
      <c r="C51" s="27" t="str">
        <f>Sponsor!C51</f>
        <v>Other (enter below)</v>
      </c>
      <c r="D51" s="106">
        <f>Sponsor!D51</f>
        <v>0</v>
      </c>
      <c r="E51" s="31">
        <f>E120</f>
        <v>0</v>
      </c>
      <c r="F51" s="31">
        <f>F120</f>
        <v>0</v>
      </c>
      <c r="G51" s="31">
        <f>G120</f>
        <v>0</v>
      </c>
      <c r="H51" s="31">
        <f>H120</f>
        <v>0</v>
      </c>
      <c r="I51" s="31">
        <f>I120</f>
        <v>0</v>
      </c>
      <c r="J51" s="31">
        <f t="shared" si="11"/>
        <v>0</v>
      </c>
      <c r="K51" s="32">
        <f t="shared" si="6"/>
        <v>0</v>
      </c>
      <c r="L51" s="31">
        <f>L120</f>
        <v>0</v>
      </c>
      <c r="M51" s="31">
        <f>M120</f>
        <v>0</v>
      </c>
      <c r="N51" s="32">
        <f t="shared" si="2"/>
        <v>0</v>
      </c>
      <c r="O51" s="263">
        <f>UMYr1!D51+UMYr2!D51+UMYr3!D51+UMYr4!D51+UMYr5!D51</f>
        <v>0</v>
      </c>
      <c r="P51" s="264">
        <f>UMYr1!J51+UMYr2!J51+UMYr3!J51+UMYr4!J51+UMYr5!J51</f>
        <v>0</v>
      </c>
      <c r="Q51" s="266">
        <f t="shared" si="12"/>
        <v>0</v>
      </c>
      <c r="AC51" s="198"/>
      <c r="AD51" s="198"/>
      <c r="AE51" s="198"/>
      <c r="AF51" s="198"/>
      <c r="AG51" s="198"/>
      <c r="AH51" s="198"/>
      <c r="AJ51" s="198"/>
    </row>
    <row r="52" spans="1:36" ht="12.95" customHeight="1" thickBot="1">
      <c r="A52" s="156"/>
      <c r="B52" s="871" t="s">
        <v>540</v>
      </c>
      <c r="C52" s="811"/>
      <c r="D52" s="44">
        <f>Sponsor!D52</f>
        <v>0</v>
      </c>
      <c r="E52" s="269">
        <f t="shared" ref="E52:M52" si="13">SUM(E44:E51)</f>
        <v>0</v>
      </c>
      <c r="F52" s="269">
        <f t="shared" si="13"/>
        <v>0</v>
      </c>
      <c r="G52" s="269">
        <f t="shared" si="13"/>
        <v>0</v>
      </c>
      <c r="H52" s="269">
        <f t="shared" si="13"/>
        <v>0</v>
      </c>
      <c r="I52" s="269">
        <f t="shared" si="13"/>
        <v>0</v>
      </c>
      <c r="J52" s="269">
        <f t="shared" si="11"/>
        <v>0</v>
      </c>
      <c r="K52" s="270">
        <f t="shared" si="6"/>
        <v>0</v>
      </c>
      <c r="L52" s="269">
        <f t="shared" si="13"/>
        <v>0</v>
      </c>
      <c r="M52" s="269">
        <f t="shared" si="13"/>
        <v>0</v>
      </c>
      <c r="N52" s="44">
        <f t="shared" si="2"/>
        <v>0</v>
      </c>
      <c r="O52" s="271">
        <f>UMYr1!D52+UMYr2!D52+UMYr3!D52+UMYr4!D52+UMYr5!D52</f>
        <v>0</v>
      </c>
      <c r="P52" s="272">
        <f>UMYr1!J52+UMYr2!J52+UMYr3!J52+UMYr4!J52+UMYr5!J52</f>
        <v>0</v>
      </c>
      <c r="Q52" s="266">
        <f t="shared" si="12"/>
        <v>0</v>
      </c>
      <c r="AC52" s="198"/>
      <c r="AD52" s="198"/>
      <c r="AE52" s="198"/>
      <c r="AF52" s="198"/>
      <c r="AG52" s="198"/>
      <c r="AH52" s="198"/>
      <c r="AJ52" s="198"/>
    </row>
    <row r="53" spans="1:36" ht="12.95" customHeight="1" thickTop="1">
      <c r="A53" s="156"/>
      <c r="B53" s="1052" t="s">
        <v>656</v>
      </c>
      <c r="C53" s="1053"/>
      <c r="D53" s="45">
        <f>Sponsor!D53</f>
        <v>0</v>
      </c>
      <c r="E53" s="23">
        <f>E52+E42+E31+E26+E36</f>
        <v>0</v>
      </c>
      <c r="F53" s="23">
        <f>F52+F42+F31+F26+F36</f>
        <v>0</v>
      </c>
      <c r="G53" s="23">
        <f>G52+G42+G31+G26+G36</f>
        <v>0</v>
      </c>
      <c r="H53" s="23">
        <f>H52+H42+H31+H26+H36</f>
        <v>0</v>
      </c>
      <c r="I53" s="23">
        <f>I52+I42+I31+I26+I36</f>
        <v>0</v>
      </c>
      <c r="J53" s="31">
        <f t="shared" si="11"/>
        <v>0</v>
      </c>
      <c r="K53" s="32">
        <f t="shared" si="6"/>
        <v>0</v>
      </c>
      <c r="L53" s="23">
        <f>L52+L42+L35+L33+L31+L26+L34</f>
        <v>0</v>
      </c>
      <c r="M53" s="23">
        <f>M52+M42+M35+M33+M31+M26+M34</f>
        <v>0</v>
      </c>
      <c r="N53" s="47">
        <f t="shared" si="2"/>
        <v>0</v>
      </c>
      <c r="O53" s="278">
        <f>UMYr1!D53+UMYr2!D53+UMYr3!D53+UMYr4!D53+UMYr5!D53</f>
        <v>0</v>
      </c>
      <c r="P53" s="279">
        <f>UMYr1!J53+UMYr2!J53+UMYr3!J53+UMYr4!J53+UMYr5!J53</f>
        <v>0</v>
      </c>
      <c r="Q53" s="383">
        <f t="shared" si="12"/>
        <v>0</v>
      </c>
      <c r="AC53" s="198"/>
      <c r="AD53" s="198"/>
      <c r="AE53" s="198"/>
      <c r="AF53" s="198"/>
      <c r="AG53" s="198"/>
      <c r="AH53" s="198"/>
      <c r="AJ53" s="198"/>
    </row>
    <row r="54" spans="1:36" ht="12.95" customHeight="1">
      <c r="A54" s="368"/>
      <c r="B54" s="374">
        <v>65711</v>
      </c>
      <c r="C54" s="350" t="s">
        <v>657</v>
      </c>
      <c r="D54" s="868" t="s">
        <v>658</v>
      </c>
      <c r="E54" s="431">
        <f>ROUND(E84*E68,0)</f>
        <v>0</v>
      </c>
      <c r="F54" s="375">
        <f>ROUND(F84*F68,0)</f>
        <v>0</v>
      </c>
      <c r="G54" s="375">
        <f>ROUND(G84*G68,0)</f>
        <v>0</v>
      </c>
      <c r="H54" s="375">
        <f>ROUND(H84*H68,0)</f>
        <v>0</v>
      </c>
      <c r="I54" s="375">
        <f>ROUND(I84*I68,0)</f>
        <v>0</v>
      </c>
      <c r="J54" s="376">
        <f>SUM(E54:I54)</f>
        <v>0</v>
      </c>
      <c r="K54" s="638">
        <f>J54</f>
        <v>0</v>
      </c>
      <c r="L54" s="874"/>
      <c r="M54" s="875"/>
      <c r="N54" s="25">
        <f t="shared" si="2"/>
        <v>0</v>
      </c>
      <c r="O54" s="876" t="s">
        <v>658</v>
      </c>
      <c r="P54" s="264">
        <f>UMYr1!J54+UMYr2!J54+UMYr3!J54+UMYr4!J54+UMYr5!J54</f>
        <v>0</v>
      </c>
      <c r="Q54" s="266">
        <f t="shared" ref="Q54:Q59" si="14">P54</f>
        <v>0</v>
      </c>
      <c r="AC54" s="198"/>
      <c r="AD54" s="198"/>
      <c r="AE54" s="198"/>
      <c r="AF54" s="198"/>
      <c r="AG54" s="198"/>
      <c r="AH54" s="198"/>
      <c r="AJ54" s="198"/>
    </row>
    <row r="55" spans="1:36" ht="12.95" customHeight="1">
      <c r="A55"/>
      <c r="B55" s="377">
        <f>IF(Sponsor!A57="","",Sponsor!A57)</f>
        <v>65712</v>
      </c>
      <c r="C55" s="134" t="str">
        <f>Sponsor!C57</f>
        <v>Above Sponsor Cap</v>
      </c>
      <c r="D55" s="869"/>
      <c r="E55" s="347">
        <f>Sponsor!D57</f>
        <v>0</v>
      </c>
      <c r="F55" s="888" t="s">
        <v>658</v>
      </c>
      <c r="G55" s="893"/>
      <c r="H55" s="893"/>
      <c r="I55" s="893"/>
      <c r="J55" s="894"/>
      <c r="K55" s="369">
        <f>E55</f>
        <v>0</v>
      </c>
      <c r="L55" s="619"/>
      <c r="M55" s="625"/>
      <c r="N55" s="427">
        <f>E55</f>
        <v>0</v>
      </c>
      <c r="O55" s="877"/>
      <c r="P55" s="264">
        <f>UMYr1!E55+UMYr2!E55+UMYr3!E55+UMYr4!E55+UMYr5!E55</f>
        <v>0</v>
      </c>
      <c r="Q55" s="266">
        <f t="shared" si="14"/>
        <v>0</v>
      </c>
    </row>
    <row r="56" spans="1:36" ht="12.95" customHeight="1">
      <c r="A56"/>
      <c r="B56" s="683">
        <f>IF(Sponsor!A58="","",Sponsor!A58)</f>
        <v>65713</v>
      </c>
      <c r="C56" s="134" t="str">
        <f>Sponsor!C58</f>
        <v>Required  Cost Sharing</v>
      </c>
      <c r="D56" s="869"/>
      <c r="E56" s="347">
        <f>Sponsor!D58</f>
        <v>0</v>
      </c>
      <c r="F56" s="916"/>
      <c r="G56" s="788"/>
      <c r="H56" s="788"/>
      <c r="I56" s="788"/>
      <c r="J56" s="917"/>
      <c r="K56" s="369">
        <f>E56</f>
        <v>0</v>
      </c>
      <c r="L56" s="621"/>
      <c r="M56" s="626"/>
      <c r="N56" s="369">
        <f>E56</f>
        <v>0</v>
      </c>
      <c r="O56" s="877"/>
      <c r="P56" s="264">
        <f>UMYr1!E56+UMYr2!E56+UMYr3!E56+UMYr4!E56+UMYr5!E56</f>
        <v>0</v>
      </c>
      <c r="Q56" s="266">
        <f t="shared" si="14"/>
        <v>0</v>
      </c>
    </row>
    <row r="57" spans="1:36" ht="12.95" customHeight="1">
      <c r="A57"/>
      <c r="B57" s="683">
        <f>IF(Sponsor!A59="","",Sponsor!A59)</f>
        <v>65714</v>
      </c>
      <c r="C57" s="134" t="str">
        <f>Sponsor!C59</f>
        <v xml:space="preserve">State Agreement </v>
      </c>
      <c r="D57" s="869"/>
      <c r="E57" s="347">
        <f>Sponsor!D59</f>
        <v>0</v>
      </c>
      <c r="F57" s="916"/>
      <c r="G57" s="788"/>
      <c r="H57" s="788"/>
      <c r="I57" s="788"/>
      <c r="J57" s="917"/>
      <c r="K57" s="369">
        <f>E57</f>
        <v>0</v>
      </c>
      <c r="L57" s="621"/>
      <c r="M57" s="626"/>
      <c r="N57" s="369">
        <f>E57</f>
        <v>0</v>
      </c>
      <c r="O57" s="877"/>
      <c r="P57" s="264">
        <f>UMYr1!E57+UMYr2!E57+UMYr3!E57+UMYr4!E57+UMYr5!E57</f>
        <v>0</v>
      </c>
      <c r="Q57" s="266">
        <f t="shared" si="14"/>
        <v>0</v>
      </c>
    </row>
    <row r="58" spans="1:36" ht="12.95" customHeight="1">
      <c r="A58"/>
      <c r="B58" s="683">
        <f>IF(Sponsor!A60="","",Sponsor!A60)</f>
        <v>65715</v>
      </c>
      <c r="C58" s="134" t="str">
        <f>Sponsor!C60</f>
        <v>Voluntary Cost Sharing</v>
      </c>
      <c r="D58" s="869"/>
      <c r="E58" s="347">
        <f>Sponsor!D60</f>
        <v>0</v>
      </c>
      <c r="F58" s="916"/>
      <c r="G58" s="788"/>
      <c r="H58" s="788"/>
      <c r="I58" s="788"/>
      <c r="J58" s="917"/>
      <c r="K58" s="369">
        <f>E58</f>
        <v>0</v>
      </c>
      <c r="L58" s="621"/>
      <c r="M58" s="626"/>
      <c r="N58" s="369">
        <f>E58</f>
        <v>0</v>
      </c>
      <c r="O58" s="877"/>
      <c r="P58" s="264">
        <f>UMYr1!E58+UMYr2!E58+UMYr3!E58+UMYr4!E58+UMYr5!E58</f>
        <v>0</v>
      </c>
      <c r="Q58" s="266">
        <f t="shared" si="14"/>
        <v>0</v>
      </c>
    </row>
    <row r="59" spans="1:36" ht="12.95" customHeight="1">
      <c r="A59"/>
      <c r="B59" s="367"/>
      <c r="C59" s="345" t="s">
        <v>659</v>
      </c>
      <c r="D59" s="870"/>
      <c r="E59" s="430">
        <f>SUM(E55:E58)</f>
        <v>0</v>
      </c>
      <c r="F59" s="895"/>
      <c r="G59" s="896"/>
      <c r="H59" s="896"/>
      <c r="I59" s="896"/>
      <c r="J59" s="897"/>
      <c r="K59" s="428">
        <f>E59</f>
        <v>0</v>
      </c>
      <c r="L59" s="622"/>
      <c r="M59" s="627"/>
      <c r="N59" s="428">
        <f>E59</f>
        <v>0</v>
      </c>
      <c r="O59" s="878"/>
      <c r="P59" s="280">
        <f>UMYr1!E59+UMYr2!E59+UMYr3!E59+UMYr4!E59+UMYr5!E59</f>
        <v>0</v>
      </c>
      <c r="Q59" s="311">
        <f t="shared" si="14"/>
        <v>0</v>
      </c>
    </row>
    <row r="60" spans="1:36" ht="12.95" customHeight="1">
      <c r="A60" s="679">
        <v>65701</v>
      </c>
      <c r="B60" s="808" t="s">
        <v>660</v>
      </c>
      <c r="C60" s="809"/>
      <c r="D60" s="369">
        <f>Sponsor!D54</f>
        <v>0</v>
      </c>
      <c r="E60" s="347">
        <f>E54+E59</f>
        <v>0</v>
      </c>
      <c r="F60" s="344">
        <f>F54</f>
        <v>0</v>
      </c>
      <c r="G60" s="344">
        <f>G54</f>
        <v>0</v>
      </c>
      <c r="H60" s="344">
        <f>H54</f>
        <v>0</v>
      </c>
      <c r="I60" s="344">
        <f>I54</f>
        <v>0</v>
      </c>
      <c r="J60" s="344">
        <f>SUM(E60:I60)</f>
        <v>0</v>
      </c>
      <c r="K60" s="425">
        <f>J60+D60</f>
        <v>0</v>
      </c>
      <c r="L60" s="373">
        <f>ROUND(L84*L69,0)</f>
        <v>0</v>
      </c>
      <c r="M60" s="635">
        <f>ROUND(M84*M69,0)</f>
        <v>0</v>
      </c>
      <c r="N60" s="423">
        <f>J60+D60 + L60</f>
        <v>0</v>
      </c>
      <c r="O60" s="429">
        <f>UMYr1!D60+UMYr2!D60+UMYr3!D60+UMYr4!D60+UMYr5!D60</f>
        <v>0</v>
      </c>
      <c r="P60" s="264">
        <f>UMYr1!J60+UMYr2!J60+UMYr3!J60+UMYr4!J60+UMYr5!J60</f>
        <v>0</v>
      </c>
      <c r="Q60" s="266">
        <f>O60+P60</f>
        <v>0</v>
      </c>
    </row>
    <row r="61" spans="1:36" ht="12.95" customHeight="1" thickBot="1">
      <c r="A61" s="665"/>
      <c r="B61" s="380">
        <v>65719</v>
      </c>
      <c r="C61" s="395" t="s">
        <v>661</v>
      </c>
      <c r="D61" s="379"/>
      <c r="E61" s="370">
        <f>-E60</f>
        <v>0</v>
      </c>
      <c r="F61" s="371">
        <f>-F54</f>
        <v>0</v>
      </c>
      <c r="G61" s="371">
        <f>-G54</f>
        <v>0</v>
      </c>
      <c r="H61" s="371">
        <f>-H54</f>
        <v>0</v>
      </c>
      <c r="I61" s="371">
        <f>-I54</f>
        <v>0</v>
      </c>
      <c r="J61" s="371">
        <f xml:space="preserve"> SUM(E61:I61)</f>
        <v>0</v>
      </c>
      <c r="K61" s="426">
        <f>J61</f>
        <v>0</v>
      </c>
      <c r="L61" s="410"/>
      <c r="M61" s="624"/>
      <c r="N61" s="424">
        <f>K61</f>
        <v>0</v>
      </c>
      <c r="O61" s="263"/>
      <c r="P61" s="264">
        <f>UMYr1!J61+UMYr2!J61+UMYr3!J61+UMYr4!J61+UMYr5!J61</f>
        <v>0</v>
      </c>
      <c r="Q61" s="276">
        <f>P61</f>
        <v>0</v>
      </c>
    </row>
    <row r="62" spans="1:36" ht="12.95" customHeight="1" thickTop="1">
      <c r="A62" s="156"/>
      <c r="B62" s="914" t="s">
        <v>544</v>
      </c>
      <c r="C62" s="915"/>
      <c r="D62" s="510">
        <f>Sponsor!D55</f>
        <v>0</v>
      </c>
      <c r="E62" s="511">
        <f t="shared" ref="E62:J62" si="15">E53+E60</f>
        <v>0</v>
      </c>
      <c r="F62" s="511">
        <f t="shared" si="15"/>
        <v>0</v>
      </c>
      <c r="G62" s="511">
        <f t="shared" si="15"/>
        <v>0</v>
      </c>
      <c r="H62" s="511">
        <f t="shared" si="15"/>
        <v>0</v>
      </c>
      <c r="I62" s="511">
        <f t="shared" si="15"/>
        <v>0</v>
      </c>
      <c r="J62" s="511">
        <f t="shared" si="15"/>
        <v>0</v>
      </c>
      <c r="K62" s="512">
        <f>SUM(D62:I62)</f>
        <v>0</v>
      </c>
      <c r="L62" s="513">
        <f>SUM(L53:L60)</f>
        <v>0</v>
      </c>
      <c r="M62" s="511">
        <f>SUM(M53:M60)</f>
        <v>0</v>
      </c>
      <c r="N62" s="512">
        <f>N53+N60</f>
        <v>0</v>
      </c>
      <c r="O62" s="513">
        <f>UMYr1!D62+UMYr2!D62+UMYr3!D62+UMYr4!D62+UMYr5!D62</f>
        <v>0</v>
      </c>
      <c r="P62" s="514">
        <f>UMYr1!J62+UMYr2!J62+UMYr3!J62+UMYr4!J62+UMYr5!J62</f>
        <v>0</v>
      </c>
      <c r="Q62" s="510">
        <f>O62+P62</f>
        <v>0</v>
      </c>
    </row>
    <row r="63" spans="1:36" ht="12.95" customHeight="1">
      <c r="A63" s="156"/>
      <c r="B63" s="909" t="s">
        <v>662</v>
      </c>
      <c r="C63" s="910"/>
      <c r="D63" s="673">
        <f>D62-D42</f>
        <v>0</v>
      </c>
      <c r="E63" s="378">
        <f t="shared" ref="E63:Q63" si="16">E62-E42</f>
        <v>0</v>
      </c>
      <c r="F63" s="378">
        <f t="shared" si="16"/>
        <v>0</v>
      </c>
      <c r="G63" s="378">
        <f t="shared" si="16"/>
        <v>0</v>
      </c>
      <c r="H63" s="378">
        <f t="shared" si="16"/>
        <v>0</v>
      </c>
      <c r="I63" s="378">
        <f t="shared" si="16"/>
        <v>0</v>
      </c>
      <c r="J63" s="378">
        <f t="shared" si="16"/>
        <v>0</v>
      </c>
      <c r="K63" s="673">
        <f t="shared" si="16"/>
        <v>0</v>
      </c>
      <c r="L63" s="378">
        <f t="shared" si="16"/>
        <v>0</v>
      </c>
      <c r="M63" s="378">
        <f t="shared" si="16"/>
        <v>0</v>
      </c>
      <c r="N63" s="673">
        <f t="shared" si="16"/>
        <v>0</v>
      </c>
      <c r="O63" s="527">
        <f t="shared" si="16"/>
        <v>0</v>
      </c>
      <c r="P63" s="528">
        <f t="shared" si="16"/>
        <v>0</v>
      </c>
      <c r="Q63" s="673">
        <f t="shared" si="16"/>
        <v>0</v>
      </c>
      <c r="R63" s="221"/>
      <c r="S63" s="221"/>
      <c r="T63" s="221"/>
    </row>
    <row r="64" spans="1:36" ht="12.95" customHeight="1">
      <c r="A64" s="156"/>
      <c r="B64" s="281" t="s">
        <v>663</v>
      </c>
      <c r="C64" s="28"/>
      <c r="D64" s="28"/>
      <c r="E64" s="28"/>
      <c r="F64" s="28"/>
      <c r="G64" s="28"/>
      <c r="H64" s="28"/>
      <c r="I64" s="28"/>
      <c r="J64" s="28"/>
      <c r="K64" s="28"/>
      <c r="L64" s="28"/>
      <c r="M64" s="28"/>
      <c r="N64" s="190"/>
      <c r="R64" s="135"/>
    </row>
    <row r="65" spans="1:26" ht="12.95" customHeight="1">
      <c r="A65" s="156"/>
      <c r="B65" s="282" t="s">
        <v>556</v>
      </c>
      <c r="C65" s="28"/>
      <c r="D65" s="28"/>
      <c r="E65" s="28"/>
      <c r="F65" s="28"/>
      <c r="G65" s="28"/>
      <c r="H65" s="28"/>
      <c r="I65" s="28"/>
      <c r="J65" s="28"/>
      <c r="K65" s="28"/>
      <c r="L65" s="28"/>
      <c r="M65" s="28"/>
      <c r="N65" s="190"/>
      <c r="R65" s="221"/>
      <c r="S65" s="221"/>
      <c r="T65" s="223"/>
    </row>
    <row r="66" spans="1:26" ht="12.95" customHeight="1">
      <c r="A66" s="156"/>
      <c r="B66" s="831" t="s">
        <v>558</v>
      </c>
      <c r="C66" s="772"/>
      <c r="D66" s="120">
        <f>Sponsor!D67</f>
        <v>0.437</v>
      </c>
      <c r="E66" s="631">
        <f>D66</f>
        <v>0.437</v>
      </c>
      <c r="F66" s="631">
        <f>D66</f>
        <v>0.437</v>
      </c>
      <c r="G66" s="631">
        <f>D66</f>
        <v>0.437</v>
      </c>
      <c r="H66" s="631">
        <f>D66</f>
        <v>0.437</v>
      </c>
      <c r="I66" s="631">
        <f>D66</f>
        <v>0.437</v>
      </c>
      <c r="J66" s="49"/>
      <c r="K66" s="283"/>
      <c r="L66" s="49">
        <f>$D$66</f>
        <v>0.437</v>
      </c>
      <c r="M66" s="51">
        <f>$D$66</f>
        <v>0.437</v>
      </c>
      <c r="N66" s="284"/>
      <c r="O66" s="285"/>
      <c r="P66" s="285"/>
      <c r="R66" s="135"/>
    </row>
    <row r="67" spans="1:26" ht="12.95" customHeight="1">
      <c r="A67" s="156"/>
      <c r="B67" s="764" t="s">
        <v>559</v>
      </c>
      <c r="C67" s="763"/>
      <c r="D67" s="121">
        <f>Sponsor!D68</f>
        <v>7.6999999999999999E-2</v>
      </c>
      <c r="E67" s="632">
        <f>D67</f>
        <v>7.6999999999999999E-2</v>
      </c>
      <c r="F67" s="53">
        <f>D67</f>
        <v>7.6999999999999999E-2</v>
      </c>
      <c r="G67" s="53">
        <f>D67</f>
        <v>7.6999999999999999E-2</v>
      </c>
      <c r="H67" s="53">
        <f>D67</f>
        <v>7.6999999999999999E-2</v>
      </c>
      <c r="I67" s="53">
        <f>D67</f>
        <v>7.6999999999999999E-2</v>
      </c>
      <c r="J67" s="57"/>
      <c r="K67" s="18"/>
      <c r="L67" s="53">
        <f>$D$67</f>
        <v>7.6999999999999999E-2</v>
      </c>
      <c r="M67" s="55">
        <f>$D$67</f>
        <v>7.6999999999999999E-2</v>
      </c>
      <c r="N67" s="286"/>
      <c r="O67" s="285"/>
      <c r="P67" s="285"/>
      <c r="R67" s="135"/>
    </row>
    <row r="68" spans="1:26" ht="12.95" customHeight="1">
      <c r="A68" s="156"/>
      <c r="B68" s="761" t="s">
        <v>664</v>
      </c>
      <c r="C68" s="763"/>
      <c r="D68" s="121">
        <f>Sponsor!D69</f>
        <v>0.47699999999999998</v>
      </c>
      <c r="E68" s="632">
        <f>D68</f>
        <v>0.47699999999999998</v>
      </c>
      <c r="F68" s="56">
        <f>D68</f>
        <v>0.47699999999999998</v>
      </c>
      <c r="G68" s="53">
        <f>D68</f>
        <v>0.47699999999999998</v>
      </c>
      <c r="H68" s="53">
        <f>D68</f>
        <v>0.47699999999999998</v>
      </c>
      <c r="I68" s="53">
        <f>D68</f>
        <v>0.47699999999999998</v>
      </c>
      <c r="J68" s="89">
        <f>I68</f>
        <v>0.47699999999999998</v>
      </c>
      <c r="K68" s="18"/>
      <c r="L68" s="17">
        <f>D68</f>
        <v>0.47699999999999998</v>
      </c>
      <c r="M68" s="615">
        <f t="shared" ref="M68" si="17">L68</f>
        <v>0.47699999999999998</v>
      </c>
      <c r="N68" s="286"/>
      <c r="O68" s="285"/>
      <c r="P68" s="285"/>
      <c r="R68" s="135"/>
    </row>
    <row r="69" spans="1:26" ht="12.95" customHeight="1" thickBot="1">
      <c r="A69" s="156"/>
      <c r="B69" s="902" t="s">
        <v>561</v>
      </c>
      <c r="C69" s="775"/>
      <c r="D69" s="122">
        <f>Sponsor!D70</f>
        <v>0.47699999999999998</v>
      </c>
      <c r="E69" s="633">
        <f>D69</f>
        <v>0.47699999999999998</v>
      </c>
      <c r="F69" s="224">
        <f>D69</f>
        <v>0.47699999999999998</v>
      </c>
      <c r="G69" s="630">
        <f>D69</f>
        <v>0.47699999999999998</v>
      </c>
      <c r="H69" s="224">
        <f>D69</f>
        <v>0.47699999999999998</v>
      </c>
      <c r="I69" s="224">
        <f>D69</f>
        <v>0.47699999999999998</v>
      </c>
      <c r="J69" s="224">
        <f>I69</f>
        <v>0.47699999999999998</v>
      </c>
      <c r="K69" s="287"/>
      <c r="L69" s="616">
        <v>0</v>
      </c>
      <c r="M69" s="617">
        <v>0</v>
      </c>
      <c r="N69" s="288"/>
      <c r="O69" s="223"/>
      <c r="P69" s="223"/>
      <c r="R69" s="135"/>
      <c r="S69" s="223"/>
      <c r="T69" s="223"/>
    </row>
    <row r="70" spans="1:26" ht="12.95" customHeight="1">
      <c r="A70" s="156"/>
      <c r="B70" s="83" t="s">
        <v>563</v>
      </c>
      <c r="C70" s="227"/>
      <c r="D70" s="227"/>
      <c r="E70" s="227"/>
      <c r="F70" s="227"/>
      <c r="G70" s="227"/>
      <c r="H70" s="227"/>
      <c r="I70" s="227"/>
      <c r="J70" s="227"/>
      <c r="K70" s="227"/>
      <c r="L70" s="227"/>
      <c r="M70" s="227"/>
      <c r="N70" s="228"/>
    </row>
    <row r="71" spans="1:26" ht="12.95" customHeight="1">
      <c r="A71" s="156"/>
      <c r="C71" s="191" t="s">
        <v>564</v>
      </c>
      <c r="D71" s="30">
        <f>Sponsor!D74</f>
        <v>0</v>
      </c>
      <c r="E71" s="31">
        <f>E13+E15+E16+E19+E20+E21+E22</f>
        <v>0</v>
      </c>
      <c r="F71" s="31">
        <f>F13+F15+F16+F19+F20+F21+F22</f>
        <v>0</v>
      </c>
      <c r="G71" s="31">
        <f>G13+G15+G16+G19+G20+G21+G22</f>
        <v>0</v>
      </c>
      <c r="H71" s="31">
        <f>H13+H15+H16+H19+H20+H21+H22</f>
        <v>0</v>
      </c>
      <c r="I71" s="31">
        <f>I13+I15+I16+I19+I20+I21+I22</f>
        <v>0</v>
      </c>
      <c r="J71" s="289">
        <f>SUM(E71:I71)</f>
        <v>0</v>
      </c>
      <c r="K71" s="30">
        <f>D71+J71</f>
        <v>0</v>
      </c>
      <c r="L71" s="31">
        <f>L13+L15+L16+L19+L20+L21+L22</f>
        <v>0</v>
      </c>
      <c r="M71" s="31">
        <f>M13+M15+M16+M19+M20+M21+M22</f>
        <v>0</v>
      </c>
      <c r="N71" s="77">
        <f>SUM(K71:M71)</f>
        <v>0</v>
      </c>
      <c r="Q71" s="223"/>
      <c r="T71" s="452" t="s">
        <v>665</v>
      </c>
      <c r="U71" s="452" t="s">
        <v>666</v>
      </c>
      <c r="V71" s="223" t="s">
        <v>667</v>
      </c>
      <c r="W71" s="223" t="s">
        <v>668</v>
      </c>
      <c r="X71" s="452" t="s">
        <v>13</v>
      </c>
      <c r="Y71" s="453" t="s">
        <v>647</v>
      </c>
      <c r="Z71" s="453" t="s">
        <v>13</v>
      </c>
    </row>
    <row r="72" spans="1:26" ht="12.95" customHeight="1">
      <c r="A72" s="156"/>
      <c r="C72" s="233" t="s">
        <v>565</v>
      </c>
      <c r="D72" s="32">
        <f>Sponsor!D75</f>
        <v>0</v>
      </c>
      <c r="E72" s="31">
        <f>E20+E21+ SUM(T72:T91)</f>
        <v>0</v>
      </c>
      <c r="F72" s="31">
        <f>F20+F21+ SUM(U72:U91)</f>
        <v>0</v>
      </c>
      <c r="G72" s="31">
        <f>G20+G21+ SUM(V72:V91)</f>
        <v>0</v>
      </c>
      <c r="H72" s="31">
        <f>H20+H21+ SUM(W72:W91)</f>
        <v>0</v>
      </c>
      <c r="I72" s="31">
        <f>I20+I21+ SUM(X72:X91)</f>
        <v>0</v>
      </c>
      <c r="J72" s="11">
        <f>SUM(E72:I72)</f>
        <v>0</v>
      </c>
      <c r="K72" s="32">
        <f>D72+J72</f>
        <v>0</v>
      </c>
      <c r="L72" s="31">
        <f>L20+L21+SUM(Y72:Y91)</f>
        <v>0</v>
      </c>
      <c r="M72" s="31">
        <f>M20+M21+SUM(Z72:Z91)</f>
        <v>0</v>
      </c>
      <c r="N72" s="78">
        <f>SUM(K72:M72)</f>
        <v>0</v>
      </c>
      <c r="T72" s="451">
        <f t="shared" ref="T72:X75" si="18">IF(LEN($A8)=5,E8,0)</f>
        <v>0</v>
      </c>
      <c r="U72" s="451">
        <f t="shared" si="18"/>
        <v>0</v>
      </c>
      <c r="V72" s="451">
        <f t="shared" si="18"/>
        <v>0</v>
      </c>
      <c r="W72" s="451">
        <f t="shared" si="18"/>
        <v>0</v>
      </c>
      <c r="X72" s="451">
        <f t="shared" si="18"/>
        <v>0</v>
      </c>
      <c r="Y72" s="451">
        <f t="shared" ref="Y72:Z75" si="19">IF(LEN($A8)=5,L8,0)</f>
        <v>0</v>
      </c>
      <c r="Z72" s="451">
        <f t="shared" si="19"/>
        <v>0</v>
      </c>
    </row>
    <row r="73" spans="1:26" ht="12.95" customHeight="1">
      <c r="A73" s="156"/>
      <c r="B73" s="761" t="s">
        <v>566</v>
      </c>
      <c r="C73" s="1038"/>
      <c r="D73" s="32">
        <f>Sponsor!D76</f>
        <v>0</v>
      </c>
      <c r="E73" s="31">
        <f>ROUND((E71-E72)*E66,0)</f>
        <v>0</v>
      </c>
      <c r="F73" s="31">
        <f>ROUND((F71-F72)*F66,0)</f>
        <v>0</v>
      </c>
      <c r="G73" s="31">
        <f>ROUND((G71-G72)*G66,0)</f>
        <v>0</v>
      </c>
      <c r="H73" s="31">
        <f>ROUND((H71-H72)*H66,0)</f>
        <v>0</v>
      </c>
      <c r="I73" s="31">
        <f>ROUND((I71-I72)*I66,0)</f>
        <v>0</v>
      </c>
      <c r="J73" s="11">
        <f>SUM(E73:I73)</f>
        <v>0</v>
      </c>
      <c r="K73" s="32">
        <f>D73+J73</f>
        <v>0</v>
      </c>
      <c r="L73" s="31">
        <f>ROUND((L71-L72)*L66,0)</f>
        <v>0</v>
      </c>
      <c r="M73" s="31">
        <f>ROUND((M71-M72)*M66,0)</f>
        <v>0</v>
      </c>
      <c r="N73" s="78">
        <f>SUM(K73:M73)</f>
        <v>0</v>
      </c>
      <c r="Q73" s="229"/>
      <c r="T73" s="451">
        <f t="shared" si="18"/>
        <v>0</v>
      </c>
      <c r="U73" s="451">
        <f t="shared" si="18"/>
        <v>0</v>
      </c>
      <c r="V73" s="451">
        <f t="shared" si="18"/>
        <v>0</v>
      </c>
      <c r="W73" s="451">
        <f t="shared" si="18"/>
        <v>0</v>
      </c>
      <c r="X73" s="451">
        <f t="shared" si="18"/>
        <v>0</v>
      </c>
      <c r="Y73" s="451">
        <f t="shared" si="19"/>
        <v>0</v>
      </c>
      <c r="Z73" s="451">
        <f t="shared" si="19"/>
        <v>0</v>
      </c>
    </row>
    <row r="74" spans="1:26" ht="12.95" customHeight="1">
      <c r="A74" s="156"/>
      <c r="B74" s="761" t="s">
        <v>567</v>
      </c>
      <c r="C74" s="1038"/>
      <c r="D74" s="26">
        <f>Sponsor!D77</f>
        <v>0</v>
      </c>
      <c r="E74" s="34">
        <f>ROUND(E72*E67,0)</f>
        <v>0</v>
      </c>
      <c r="F74" s="34">
        <f>ROUND(F72*F67,0)</f>
        <v>0</v>
      </c>
      <c r="G74" s="34">
        <f>ROUND(G72*G67,0)</f>
        <v>0</v>
      </c>
      <c r="H74" s="34">
        <f>ROUND(H72*H67,0)</f>
        <v>0</v>
      </c>
      <c r="I74" s="34">
        <f>ROUND(I72*I67,0)</f>
        <v>0</v>
      </c>
      <c r="J74" s="290">
        <f>SUM(E74:I74)</f>
        <v>0</v>
      </c>
      <c r="K74" s="26">
        <f>D74+J74</f>
        <v>0</v>
      </c>
      <c r="L74" s="34">
        <f>ROUND(L72*L67,0)</f>
        <v>0</v>
      </c>
      <c r="M74" s="34">
        <f>ROUND(M72*M67,0)</f>
        <v>0</v>
      </c>
      <c r="N74" s="174">
        <f>SUM(K74:M74)</f>
        <v>0</v>
      </c>
      <c r="Q74" s="229"/>
      <c r="T74" s="451">
        <f t="shared" si="18"/>
        <v>0</v>
      </c>
      <c r="U74" s="451">
        <f t="shared" si="18"/>
        <v>0</v>
      </c>
      <c r="V74" s="451">
        <f t="shared" si="18"/>
        <v>0</v>
      </c>
      <c r="W74" s="451">
        <f t="shared" si="18"/>
        <v>0</v>
      </c>
      <c r="X74" s="451">
        <f t="shared" si="18"/>
        <v>0</v>
      </c>
      <c r="Y74" s="451">
        <f t="shared" si="19"/>
        <v>0</v>
      </c>
      <c r="Z74" s="451">
        <f t="shared" si="19"/>
        <v>0</v>
      </c>
    </row>
    <row r="75" spans="1:26" ht="12.95" customHeight="1" thickBot="1">
      <c r="A75" s="156"/>
      <c r="B75" s="768" t="s">
        <v>568</v>
      </c>
      <c r="C75" s="1039"/>
      <c r="D75" s="182">
        <f>Sponsor!D78</f>
        <v>0</v>
      </c>
      <c r="E75" s="183">
        <f>E73+E74</f>
        <v>0</v>
      </c>
      <c r="F75" s="183">
        <f>F73+F74</f>
        <v>0</v>
      </c>
      <c r="G75" s="183">
        <f>G73+G74</f>
        <v>0</v>
      </c>
      <c r="H75" s="183">
        <f>H73+H74</f>
        <v>0</v>
      </c>
      <c r="I75" s="183">
        <f>I73+I74</f>
        <v>0</v>
      </c>
      <c r="J75" s="291">
        <f>SUM(E75:I75)</f>
        <v>0</v>
      </c>
      <c r="K75" s="182">
        <f>D75+J75</f>
        <v>0</v>
      </c>
      <c r="L75" s="183">
        <f>L73+L74</f>
        <v>0</v>
      </c>
      <c r="M75" s="183">
        <f>M73+M74</f>
        <v>0</v>
      </c>
      <c r="N75" s="185">
        <f>SUM(K75:M75)</f>
        <v>0</v>
      </c>
      <c r="Q75" s="229"/>
      <c r="T75" s="451">
        <f t="shared" si="18"/>
        <v>0</v>
      </c>
      <c r="U75" s="451">
        <f t="shared" si="18"/>
        <v>0</v>
      </c>
      <c r="V75" s="451">
        <f t="shared" si="18"/>
        <v>0</v>
      </c>
      <c r="W75" s="451">
        <f t="shared" si="18"/>
        <v>0</v>
      </c>
      <c r="X75" s="451">
        <f t="shared" si="18"/>
        <v>0</v>
      </c>
      <c r="Y75" s="451">
        <f t="shared" si="19"/>
        <v>0</v>
      </c>
      <c r="Z75" s="451">
        <f t="shared" si="19"/>
        <v>0</v>
      </c>
    </row>
    <row r="76" spans="1:26" ht="12.95" customHeight="1">
      <c r="A76" s="156"/>
      <c r="B76" s="84" t="s">
        <v>569</v>
      </c>
      <c r="C76" s="230"/>
      <c r="D76" s="230"/>
      <c r="E76" s="230"/>
      <c r="F76" s="230"/>
      <c r="G76" s="230"/>
      <c r="H76" s="230"/>
      <c r="I76" s="230"/>
      <c r="J76" s="230"/>
      <c r="K76" s="230"/>
      <c r="L76" s="230"/>
      <c r="M76" s="230"/>
      <c r="N76" s="231"/>
      <c r="O76" s="134"/>
      <c r="P76" s="134"/>
      <c r="T76" s="451">
        <f t="shared" ref="T76:T91" si="20">IF(LEN($A86)=5,E86,0)</f>
        <v>0</v>
      </c>
      <c r="U76" s="451">
        <f t="shared" ref="U76:U91" si="21">IF(LEN($A86)=5,F86,0)</f>
        <v>0</v>
      </c>
      <c r="V76" s="451">
        <f t="shared" ref="V76:V91" si="22">IF(LEN($A86)=5,G86,0)</f>
        <v>0</v>
      </c>
      <c r="W76" s="451">
        <f t="shared" ref="W76:W91" si="23">IF(LEN($A86)=5,H86,0)</f>
        <v>0</v>
      </c>
      <c r="X76" s="451">
        <f t="shared" ref="X76:X91" si="24">IF(LEN($A86)=5,I86,0)</f>
        <v>0</v>
      </c>
      <c r="Y76" s="451">
        <f t="shared" ref="Y76:Y91" si="25">IF(LEN($A86)=5,L86,0)</f>
        <v>0</v>
      </c>
      <c r="Z76" s="451">
        <f t="shared" ref="Z76:Z91" si="26">IF(LEN($A86)=5,M86,0)</f>
        <v>0</v>
      </c>
    </row>
    <row r="77" spans="1:26" ht="12.95" customHeight="1">
      <c r="A77" s="156"/>
      <c r="B77" s="832" t="s">
        <v>669</v>
      </c>
      <c r="C77" s="772"/>
      <c r="D77" s="665">
        <f>Sponsor!D80</f>
        <v>0</v>
      </c>
      <c r="F77" s="189"/>
      <c r="G77" s="189"/>
      <c r="H77" s="189"/>
      <c r="I77" s="189"/>
      <c r="J77" s="28"/>
      <c r="K77" s="28"/>
      <c r="L77" s="28"/>
      <c r="M77" s="28"/>
      <c r="N77" s="172"/>
      <c r="T77" s="451">
        <f t="shared" si="20"/>
        <v>0</v>
      </c>
      <c r="U77" s="451">
        <f t="shared" si="21"/>
        <v>0</v>
      </c>
      <c r="V77" s="451">
        <f t="shared" si="22"/>
        <v>0</v>
      </c>
      <c r="W77" s="451">
        <f t="shared" si="23"/>
        <v>0</v>
      </c>
      <c r="X77" s="451">
        <f t="shared" si="24"/>
        <v>0</v>
      </c>
      <c r="Y77" s="451">
        <f t="shared" si="25"/>
        <v>0</v>
      </c>
      <c r="Z77" s="451">
        <f t="shared" si="26"/>
        <v>0</v>
      </c>
    </row>
    <row r="78" spans="1:26" ht="12.95" customHeight="1">
      <c r="A78" s="156"/>
      <c r="B78" s="761" t="s">
        <v>542</v>
      </c>
      <c r="C78" s="1038"/>
      <c r="D78" s="31">
        <f>Sponsor!D81</f>
        <v>0</v>
      </c>
      <c r="E78" s="118">
        <f t="shared" ref="E78:L78" si="27">E53</f>
        <v>0</v>
      </c>
      <c r="F78" s="119">
        <f t="shared" si="27"/>
        <v>0</v>
      </c>
      <c r="G78" s="119">
        <f t="shared" si="27"/>
        <v>0</v>
      </c>
      <c r="H78" s="119">
        <f t="shared" si="27"/>
        <v>0</v>
      </c>
      <c r="I78" s="119">
        <f t="shared" si="27"/>
        <v>0</v>
      </c>
      <c r="J78" s="166">
        <f t="shared" si="27"/>
        <v>0</v>
      </c>
      <c r="K78" s="32">
        <f t="shared" si="27"/>
        <v>0</v>
      </c>
      <c r="L78" s="346">
        <f t="shared" si="27"/>
        <v>0</v>
      </c>
      <c r="M78" s="918" t="s">
        <v>658</v>
      </c>
      <c r="N78" s="78">
        <f t="shared" ref="N78:N109" si="28">SUM(K78:M78)</f>
        <v>0</v>
      </c>
      <c r="T78" s="451">
        <f t="shared" si="20"/>
        <v>0</v>
      </c>
      <c r="U78" s="451">
        <f t="shared" si="21"/>
        <v>0</v>
      </c>
      <c r="V78" s="451">
        <f t="shared" si="22"/>
        <v>0</v>
      </c>
      <c r="W78" s="451">
        <f t="shared" si="23"/>
        <v>0</v>
      </c>
      <c r="X78" s="451">
        <f t="shared" si="24"/>
        <v>0</v>
      </c>
      <c r="Y78" s="451">
        <f t="shared" si="25"/>
        <v>0</v>
      </c>
      <c r="Z78" s="451">
        <f t="shared" si="26"/>
        <v>0</v>
      </c>
    </row>
    <row r="79" spans="1:26" ht="12.95" customHeight="1">
      <c r="A79" s="156"/>
      <c r="B79" s="761" t="s">
        <v>570</v>
      </c>
      <c r="C79" s="1038"/>
      <c r="D79" s="31">
        <f>Sponsor!D82</f>
        <v>0</v>
      </c>
      <c r="E79" s="111">
        <f t="shared" ref="E79:L79" si="29">-E31</f>
        <v>0</v>
      </c>
      <c r="F79" s="112">
        <f t="shared" si="29"/>
        <v>0</v>
      </c>
      <c r="G79" s="112">
        <f t="shared" si="29"/>
        <v>0</v>
      </c>
      <c r="H79" s="112">
        <f t="shared" si="29"/>
        <v>0</v>
      </c>
      <c r="I79" s="112">
        <f t="shared" si="29"/>
        <v>0</v>
      </c>
      <c r="J79" s="11">
        <f t="shared" si="29"/>
        <v>0</v>
      </c>
      <c r="K79" s="11">
        <f t="shared" si="29"/>
        <v>0</v>
      </c>
      <c r="L79" s="111">
        <f t="shared" si="29"/>
        <v>0</v>
      </c>
      <c r="M79" s="917"/>
      <c r="N79" s="78">
        <f t="shared" si="28"/>
        <v>0</v>
      </c>
      <c r="T79" s="451">
        <f t="shared" si="20"/>
        <v>0</v>
      </c>
      <c r="U79" s="451">
        <f t="shared" si="21"/>
        <v>0</v>
      </c>
      <c r="V79" s="451">
        <f t="shared" si="22"/>
        <v>0</v>
      </c>
      <c r="W79" s="451">
        <f t="shared" si="23"/>
        <v>0</v>
      </c>
      <c r="X79" s="451">
        <f t="shared" si="24"/>
        <v>0</v>
      </c>
      <c r="Y79" s="451">
        <f t="shared" si="25"/>
        <v>0</v>
      </c>
      <c r="Z79" s="451">
        <f t="shared" si="26"/>
        <v>0</v>
      </c>
    </row>
    <row r="80" spans="1:26" ht="12.95" customHeight="1">
      <c r="A80" s="156"/>
      <c r="B80" s="761" t="s">
        <v>571</v>
      </c>
      <c r="C80" s="1038"/>
      <c r="D80" s="31">
        <f>Sponsor!D83</f>
        <v>0</v>
      </c>
      <c r="E80" s="111">
        <f>-E42</f>
        <v>0</v>
      </c>
      <c r="F80" s="112">
        <f>-F42</f>
        <v>0</v>
      </c>
      <c r="G80" s="188">
        <f>-G42</f>
        <v>0</v>
      </c>
      <c r="H80" s="112">
        <f>-H42</f>
        <v>0</v>
      </c>
      <c r="I80" s="112">
        <f>-I42</f>
        <v>0</v>
      </c>
      <c r="J80" s="11">
        <f xml:space="preserve"> SUM(E80:I80)</f>
        <v>0</v>
      </c>
      <c r="K80" s="11">
        <f>-K42</f>
        <v>0</v>
      </c>
      <c r="L80" s="111">
        <f>-L42</f>
        <v>0</v>
      </c>
      <c r="M80" s="917"/>
      <c r="N80" s="78">
        <f t="shared" si="28"/>
        <v>0</v>
      </c>
      <c r="T80" s="451">
        <f t="shared" si="20"/>
        <v>0</v>
      </c>
      <c r="U80" s="451">
        <f t="shared" si="21"/>
        <v>0</v>
      </c>
      <c r="V80" s="451">
        <f t="shared" si="22"/>
        <v>0</v>
      </c>
      <c r="W80" s="451">
        <f t="shared" si="23"/>
        <v>0</v>
      </c>
      <c r="X80" s="451">
        <f t="shared" si="24"/>
        <v>0</v>
      </c>
      <c r="Y80" s="451">
        <f t="shared" si="25"/>
        <v>0</v>
      </c>
      <c r="Z80" s="451">
        <f t="shared" si="26"/>
        <v>0</v>
      </c>
    </row>
    <row r="81" spans="1:26" ht="12.95" customHeight="1">
      <c r="A81" s="156"/>
      <c r="B81" s="761" t="s">
        <v>572</v>
      </c>
      <c r="C81" s="1038"/>
      <c r="D81" s="31">
        <f>Sponsor!D84</f>
        <v>0</v>
      </c>
      <c r="E81" s="111">
        <f t="shared" ref="E81:L81" si="30">-E49</f>
        <v>0</v>
      </c>
      <c r="F81" s="112">
        <f t="shared" si="30"/>
        <v>0</v>
      </c>
      <c r="G81" s="112">
        <f t="shared" si="30"/>
        <v>0</v>
      </c>
      <c r="H81" s="112">
        <f t="shared" si="30"/>
        <v>0</v>
      </c>
      <c r="I81" s="112">
        <f t="shared" si="30"/>
        <v>0</v>
      </c>
      <c r="J81" s="11">
        <f t="shared" si="30"/>
        <v>0</v>
      </c>
      <c r="K81" s="11">
        <f t="shared" si="30"/>
        <v>0</v>
      </c>
      <c r="L81" s="111">
        <f t="shared" si="30"/>
        <v>0</v>
      </c>
      <c r="M81" s="917"/>
      <c r="N81" s="78">
        <f t="shared" si="28"/>
        <v>0</v>
      </c>
      <c r="T81" s="451">
        <f t="shared" si="20"/>
        <v>0</v>
      </c>
      <c r="U81" s="451">
        <f t="shared" si="21"/>
        <v>0</v>
      </c>
      <c r="V81" s="451">
        <f t="shared" si="22"/>
        <v>0</v>
      </c>
      <c r="W81" s="451">
        <f t="shared" si="23"/>
        <v>0</v>
      </c>
      <c r="X81" s="451">
        <f t="shared" si="24"/>
        <v>0</v>
      </c>
      <c r="Y81" s="451">
        <f t="shared" si="25"/>
        <v>0</v>
      </c>
      <c r="Z81" s="451">
        <f t="shared" si="26"/>
        <v>0</v>
      </c>
    </row>
    <row r="82" spans="1:26" ht="12.95" customHeight="1">
      <c r="A82" s="156"/>
      <c r="C82" s="233" t="s">
        <v>573</v>
      </c>
      <c r="D82" s="23">
        <f>Sponsor!D85</f>
        <v>0</v>
      </c>
      <c r="E82" s="165" t="s">
        <v>658</v>
      </c>
      <c r="F82" s="123" t="s">
        <v>658</v>
      </c>
      <c r="G82" s="123" t="s">
        <v>658</v>
      </c>
      <c r="H82" s="123" t="s">
        <v>658</v>
      </c>
      <c r="I82" s="123" t="s">
        <v>658</v>
      </c>
      <c r="J82" s="43">
        <f>-T142</f>
        <v>0</v>
      </c>
      <c r="K82" s="292">
        <f>D82 + J82</f>
        <v>0</v>
      </c>
      <c r="L82" s="385" t="s">
        <v>658</v>
      </c>
      <c r="M82" s="917"/>
      <c r="N82" s="173">
        <f>K82</f>
        <v>0</v>
      </c>
      <c r="T82" s="451">
        <f t="shared" si="20"/>
        <v>0</v>
      </c>
      <c r="U82" s="451">
        <f t="shared" si="21"/>
        <v>0</v>
      </c>
      <c r="V82" s="451">
        <f t="shared" si="22"/>
        <v>0</v>
      </c>
      <c r="W82" s="451">
        <f t="shared" si="23"/>
        <v>0</v>
      </c>
      <c r="X82" s="451">
        <f t="shared" si="24"/>
        <v>0</v>
      </c>
      <c r="Y82" s="451">
        <f t="shared" si="25"/>
        <v>0</v>
      </c>
      <c r="Z82" s="451">
        <f t="shared" si="26"/>
        <v>0</v>
      </c>
    </row>
    <row r="83" spans="1:26" ht="12.95" customHeight="1">
      <c r="A83" s="156"/>
      <c r="B83" s="764" t="s">
        <v>670</v>
      </c>
      <c r="C83" s="1038"/>
      <c r="D83" s="114">
        <f>Sponsor!D86</f>
        <v>0</v>
      </c>
      <c r="E83" s="65"/>
      <c r="F83" s="8"/>
      <c r="G83" s="8"/>
      <c r="H83" s="8"/>
      <c r="I83" s="8"/>
      <c r="J83" s="113">
        <f>SUM(E83:I83)</f>
        <v>0</v>
      </c>
      <c r="K83" s="11">
        <f>D83+J83</f>
        <v>0</v>
      </c>
      <c r="L83" s="275"/>
      <c r="M83" s="917"/>
      <c r="N83" s="173">
        <f t="shared" si="28"/>
        <v>0</v>
      </c>
      <c r="T83" s="451">
        <f t="shared" si="20"/>
        <v>0</v>
      </c>
      <c r="U83" s="451">
        <f t="shared" si="21"/>
        <v>0</v>
      </c>
      <c r="V83" s="451">
        <f t="shared" si="22"/>
        <v>0</v>
      </c>
      <c r="W83" s="451">
        <f t="shared" si="23"/>
        <v>0</v>
      </c>
      <c r="X83" s="451">
        <f t="shared" si="24"/>
        <v>0</v>
      </c>
      <c r="Y83" s="451">
        <f t="shared" si="25"/>
        <v>0</v>
      </c>
      <c r="Z83" s="451">
        <f t="shared" si="26"/>
        <v>0</v>
      </c>
    </row>
    <row r="84" spans="1:26" s="235" customFormat="1" ht="12.95" customHeight="1" thickBot="1">
      <c r="A84" s="234"/>
      <c r="B84" s="767" t="s">
        <v>575</v>
      </c>
      <c r="C84" s="1040"/>
      <c r="D84" s="71">
        <f>Sponsor!D87</f>
        <v>0</v>
      </c>
      <c r="E84" s="99">
        <f t="shared" ref="E84:M84" si="31">IF($D$77="TDC",E53,SUM(E78:E83))</f>
        <v>0</v>
      </c>
      <c r="F84" s="128">
        <f t="shared" si="31"/>
        <v>0</v>
      </c>
      <c r="G84" s="128">
        <f t="shared" si="31"/>
        <v>0</v>
      </c>
      <c r="H84" s="128">
        <f t="shared" si="31"/>
        <v>0</v>
      </c>
      <c r="I84" s="128">
        <f t="shared" si="31"/>
        <v>0</v>
      </c>
      <c r="J84" s="293">
        <f t="shared" si="31"/>
        <v>0</v>
      </c>
      <c r="K84" s="71">
        <f t="shared" si="31"/>
        <v>0</v>
      </c>
      <c r="L84" s="99">
        <f t="shared" si="31"/>
        <v>0</v>
      </c>
      <c r="M84" s="99">
        <f t="shared" si="31"/>
        <v>0</v>
      </c>
      <c r="N84" s="386">
        <f t="shared" si="28"/>
        <v>0</v>
      </c>
      <c r="O84"/>
      <c r="P84"/>
      <c r="T84" s="451">
        <f t="shared" si="20"/>
        <v>0</v>
      </c>
      <c r="U84" s="451">
        <f t="shared" si="21"/>
        <v>0</v>
      </c>
      <c r="V84" s="451">
        <f t="shared" si="22"/>
        <v>0</v>
      </c>
      <c r="W84" s="451">
        <f t="shared" si="23"/>
        <v>0</v>
      </c>
      <c r="X84" s="451">
        <f t="shared" si="24"/>
        <v>0</v>
      </c>
      <c r="Y84" s="451">
        <f t="shared" si="25"/>
        <v>0</v>
      </c>
      <c r="Z84" s="451">
        <f t="shared" si="26"/>
        <v>0</v>
      </c>
    </row>
    <row r="85" spans="1:26" ht="12.95" customHeight="1">
      <c r="A85" s="156"/>
      <c r="B85" s="84" t="s">
        <v>671</v>
      </c>
      <c r="C85" s="230"/>
      <c r="D85" s="294"/>
      <c r="E85" s="294"/>
      <c r="F85" s="294"/>
      <c r="G85" s="294"/>
      <c r="H85" s="294"/>
      <c r="I85" s="294"/>
      <c r="J85" s="294"/>
      <c r="K85" s="230"/>
      <c r="L85" s="230"/>
      <c r="M85" s="294"/>
      <c r="N85" s="231"/>
      <c r="O85" s="225"/>
      <c r="P85" s="225"/>
      <c r="T85" s="451">
        <f t="shared" si="20"/>
        <v>0</v>
      </c>
      <c r="U85" s="451">
        <f t="shared" si="21"/>
        <v>0</v>
      </c>
      <c r="V85" s="451">
        <f t="shared" si="22"/>
        <v>0</v>
      </c>
      <c r="W85" s="451">
        <f t="shared" si="23"/>
        <v>0</v>
      </c>
      <c r="X85" s="451">
        <f t="shared" si="24"/>
        <v>0</v>
      </c>
      <c r="Y85" s="451">
        <f t="shared" si="25"/>
        <v>0</v>
      </c>
      <c r="Z85" s="451">
        <f t="shared" si="26"/>
        <v>0</v>
      </c>
    </row>
    <row r="86" spans="1:26" ht="12.95" customHeight="1">
      <c r="A86" s="679" t="str">
        <f>IF(Sponsor!A89 &lt;&gt;"",Sponsor!A89,"")</f>
        <v/>
      </c>
      <c r="B86" s="85" t="str">
        <f>IF(Sponsor!B89 &lt;&gt;"",Sponsor!B89,"")</f>
        <v/>
      </c>
      <c r="C86" s="684" t="str">
        <f>IF(Sponsor!C89="","",Sponsor!C89)</f>
        <v/>
      </c>
      <c r="D86" s="105">
        <f>Sponsor!D89</f>
        <v>0</v>
      </c>
      <c r="E86" s="7"/>
      <c r="F86" s="7"/>
      <c r="G86" s="7"/>
      <c r="H86" s="7"/>
      <c r="I86" s="7"/>
      <c r="J86" s="29">
        <f t="shared" ref="J86:J101" si="32">SUM(E86:I86)</f>
        <v>0</v>
      </c>
      <c r="K86" s="30">
        <f t="shared" ref="K86:K101" si="33">D86+J86</f>
        <v>0</v>
      </c>
      <c r="L86" s="7"/>
      <c r="M86" s="7"/>
      <c r="N86" s="77">
        <f t="shared" si="28"/>
        <v>0</v>
      </c>
      <c r="O86" s="237"/>
      <c r="P86" s="237"/>
      <c r="T86" s="451">
        <f t="shared" si="20"/>
        <v>0</v>
      </c>
      <c r="U86" s="451">
        <f t="shared" si="21"/>
        <v>0</v>
      </c>
      <c r="V86" s="451">
        <f t="shared" si="22"/>
        <v>0</v>
      </c>
      <c r="W86" s="451">
        <f t="shared" si="23"/>
        <v>0</v>
      </c>
      <c r="X86" s="451">
        <f t="shared" si="24"/>
        <v>0</v>
      </c>
      <c r="Y86" s="451">
        <f t="shared" si="25"/>
        <v>0</v>
      </c>
      <c r="Z86" s="451">
        <f t="shared" si="26"/>
        <v>0</v>
      </c>
    </row>
    <row r="87" spans="1:26" ht="12.95" customHeight="1">
      <c r="A87" s="679" t="str">
        <f>IF(Sponsor!A90 &lt;&gt;"",Sponsor!A90,"")</f>
        <v/>
      </c>
      <c r="B87" s="85" t="str">
        <f>IF(Sponsor!B90 &lt;&gt;"",Sponsor!B90,"")</f>
        <v/>
      </c>
      <c r="C87" s="684" t="str">
        <f>IF(Sponsor!C90="","",Sponsor!C90)</f>
        <v/>
      </c>
      <c r="D87" s="106">
        <f>Sponsor!D90</f>
        <v>0</v>
      </c>
      <c r="E87" s="8"/>
      <c r="F87" s="8"/>
      <c r="G87" s="8"/>
      <c r="H87" s="8"/>
      <c r="I87" s="8"/>
      <c r="J87" s="31">
        <f t="shared" si="32"/>
        <v>0</v>
      </c>
      <c r="K87" s="32">
        <f t="shared" si="33"/>
        <v>0</v>
      </c>
      <c r="L87" s="8"/>
      <c r="M87" s="8"/>
      <c r="N87" s="78">
        <f t="shared" si="28"/>
        <v>0</v>
      </c>
      <c r="O87" s="237"/>
      <c r="P87" s="237"/>
      <c r="T87" s="451">
        <f t="shared" si="20"/>
        <v>0</v>
      </c>
      <c r="U87" s="451">
        <f t="shared" si="21"/>
        <v>0</v>
      </c>
      <c r="V87" s="451">
        <f t="shared" si="22"/>
        <v>0</v>
      </c>
      <c r="W87" s="451">
        <f t="shared" si="23"/>
        <v>0</v>
      </c>
      <c r="X87" s="451">
        <f t="shared" si="24"/>
        <v>0</v>
      </c>
      <c r="Y87" s="451">
        <f t="shared" si="25"/>
        <v>0</v>
      </c>
      <c r="Z87" s="451">
        <f t="shared" si="26"/>
        <v>0</v>
      </c>
    </row>
    <row r="88" spans="1:26" ht="12.95" customHeight="1">
      <c r="A88" s="679" t="str">
        <f>IF(Sponsor!A91 &lt;&gt;"",Sponsor!A91,"")</f>
        <v/>
      </c>
      <c r="B88" s="85" t="str">
        <f>IF(Sponsor!B91 &lt;&gt;"",Sponsor!B91,"")</f>
        <v/>
      </c>
      <c r="C88" s="684" t="str">
        <f>IF(Sponsor!C91="","",Sponsor!C91)</f>
        <v/>
      </c>
      <c r="D88" s="106">
        <f>Sponsor!D91</f>
        <v>0</v>
      </c>
      <c r="E88" s="8"/>
      <c r="F88" s="8"/>
      <c r="G88" s="8"/>
      <c r="H88" s="8"/>
      <c r="I88" s="8"/>
      <c r="J88" s="31">
        <f t="shared" si="32"/>
        <v>0</v>
      </c>
      <c r="K88" s="32">
        <f t="shared" si="33"/>
        <v>0</v>
      </c>
      <c r="L88" s="8"/>
      <c r="M88" s="8"/>
      <c r="N88" s="78">
        <f t="shared" si="28"/>
        <v>0</v>
      </c>
      <c r="O88" s="237"/>
      <c r="P88" s="237"/>
      <c r="T88" s="451">
        <f t="shared" si="20"/>
        <v>0</v>
      </c>
      <c r="U88" s="451">
        <f t="shared" si="21"/>
        <v>0</v>
      </c>
      <c r="V88" s="451">
        <f t="shared" si="22"/>
        <v>0</v>
      </c>
      <c r="W88" s="451">
        <f t="shared" si="23"/>
        <v>0</v>
      </c>
      <c r="X88" s="451">
        <f t="shared" si="24"/>
        <v>0</v>
      </c>
      <c r="Y88" s="451">
        <f t="shared" si="25"/>
        <v>0</v>
      </c>
      <c r="Z88" s="451">
        <f t="shared" si="26"/>
        <v>0</v>
      </c>
    </row>
    <row r="89" spans="1:26" ht="12.95" customHeight="1">
      <c r="A89" s="679" t="str">
        <f>IF(Sponsor!A92 &lt;&gt;"",Sponsor!A92,"")</f>
        <v/>
      </c>
      <c r="B89" s="85" t="str">
        <f>IF(Sponsor!B92 &lt;&gt;"",Sponsor!B92,"")</f>
        <v/>
      </c>
      <c r="C89" s="684" t="str">
        <f>IF(Sponsor!C92="","",Sponsor!C92)</f>
        <v/>
      </c>
      <c r="D89" s="106">
        <f>Sponsor!D92</f>
        <v>0</v>
      </c>
      <c r="E89" s="8"/>
      <c r="F89" s="8"/>
      <c r="G89" s="8"/>
      <c r="H89" s="8"/>
      <c r="I89" s="8"/>
      <c r="J89" s="31">
        <f t="shared" si="32"/>
        <v>0</v>
      </c>
      <c r="K89" s="32">
        <f t="shared" si="33"/>
        <v>0</v>
      </c>
      <c r="L89" s="8"/>
      <c r="M89" s="8"/>
      <c r="N89" s="78">
        <f t="shared" si="28"/>
        <v>0</v>
      </c>
      <c r="O89" s="237"/>
      <c r="P89" s="237"/>
      <c r="T89" s="451">
        <f t="shared" si="20"/>
        <v>0</v>
      </c>
      <c r="U89" s="451">
        <f t="shared" si="21"/>
        <v>0</v>
      </c>
      <c r="V89" s="451">
        <f t="shared" si="22"/>
        <v>0</v>
      </c>
      <c r="W89" s="451">
        <f t="shared" si="23"/>
        <v>0</v>
      </c>
      <c r="X89" s="451">
        <f t="shared" si="24"/>
        <v>0</v>
      </c>
      <c r="Y89" s="451">
        <f t="shared" si="25"/>
        <v>0</v>
      </c>
      <c r="Z89" s="451">
        <f t="shared" si="26"/>
        <v>0</v>
      </c>
    </row>
    <row r="90" spans="1:26" ht="12.95" customHeight="1">
      <c r="A90" s="679" t="str">
        <f>IF(Sponsor!A93 &lt;&gt;"",Sponsor!A93,"")</f>
        <v/>
      </c>
      <c r="B90" s="85" t="str">
        <f>IF(Sponsor!B93 &lt;&gt;"",Sponsor!B93,"")</f>
        <v/>
      </c>
      <c r="C90" s="684" t="str">
        <f>IF(Sponsor!C93="","",Sponsor!C93)</f>
        <v/>
      </c>
      <c r="D90" s="106">
        <f>Sponsor!D93</f>
        <v>0</v>
      </c>
      <c r="E90" s="8"/>
      <c r="F90" s="8"/>
      <c r="G90" s="8"/>
      <c r="H90" s="8"/>
      <c r="I90" s="8"/>
      <c r="J90" s="31">
        <f t="shared" si="32"/>
        <v>0</v>
      </c>
      <c r="K90" s="32">
        <f t="shared" si="33"/>
        <v>0</v>
      </c>
      <c r="L90" s="8"/>
      <c r="M90" s="8"/>
      <c r="N90" s="78">
        <f t="shared" si="28"/>
        <v>0</v>
      </c>
      <c r="O90" s="237"/>
      <c r="P90" s="237"/>
      <c r="T90" s="451">
        <f t="shared" si="20"/>
        <v>0</v>
      </c>
      <c r="U90" s="451">
        <f t="shared" si="21"/>
        <v>0</v>
      </c>
      <c r="V90" s="451">
        <f t="shared" si="22"/>
        <v>0</v>
      </c>
      <c r="W90" s="451">
        <f t="shared" si="23"/>
        <v>0</v>
      </c>
      <c r="X90" s="451">
        <f t="shared" si="24"/>
        <v>0</v>
      </c>
      <c r="Y90" s="451">
        <f t="shared" si="25"/>
        <v>0</v>
      </c>
      <c r="Z90" s="451">
        <f t="shared" si="26"/>
        <v>0</v>
      </c>
    </row>
    <row r="91" spans="1:26" ht="12.95" customHeight="1">
      <c r="A91" s="679" t="str">
        <f>IF(Sponsor!A94 &lt;&gt;"",Sponsor!A94,"")</f>
        <v/>
      </c>
      <c r="B91" s="85" t="str">
        <f>IF(Sponsor!B94 &lt;&gt;"",Sponsor!B94,"")</f>
        <v/>
      </c>
      <c r="C91" s="684" t="str">
        <f>IF(Sponsor!C94="","",Sponsor!C94)</f>
        <v/>
      </c>
      <c r="D91" s="106">
        <f>Sponsor!D94</f>
        <v>0</v>
      </c>
      <c r="E91" s="8"/>
      <c r="F91" s="8"/>
      <c r="G91" s="8"/>
      <c r="H91" s="8"/>
      <c r="I91" s="8"/>
      <c r="J91" s="31">
        <f t="shared" si="32"/>
        <v>0</v>
      </c>
      <c r="K91" s="32">
        <f t="shared" si="33"/>
        <v>0</v>
      </c>
      <c r="L91" s="8"/>
      <c r="M91" s="8"/>
      <c r="N91" s="78">
        <f t="shared" si="28"/>
        <v>0</v>
      </c>
      <c r="O91" s="237"/>
      <c r="P91" s="237"/>
      <c r="T91" s="451">
        <f t="shared" si="20"/>
        <v>0</v>
      </c>
      <c r="U91" s="451">
        <f t="shared" si="21"/>
        <v>0</v>
      </c>
      <c r="V91" s="451">
        <f t="shared" si="22"/>
        <v>0</v>
      </c>
      <c r="W91" s="451">
        <f t="shared" si="23"/>
        <v>0</v>
      </c>
      <c r="X91" s="451">
        <f t="shared" si="24"/>
        <v>0</v>
      </c>
      <c r="Y91" s="451">
        <f t="shared" si="25"/>
        <v>0</v>
      </c>
      <c r="Z91" s="451">
        <f t="shared" si="26"/>
        <v>0</v>
      </c>
    </row>
    <row r="92" spans="1:26" ht="12.95" customHeight="1">
      <c r="A92" s="679" t="str">
        <f>IF(Sponsor!A95 &lt;&gt;"",Sponsor!A95,"")</f>
        <v/>
      </c>
      <c r="B92" s="85" t="str">
        <f>IF(Sponsor!B95 &lt;&gt;"",Sponsor!B95,"")</f>
        <v/>
      </c>
      <c r="C92" s="684" t="str">
        <f>IF(Sponsor!C95="","",Sponsor!C95)</f>
        <v/>
      </c>
      <c r="D92" s="106">
        <f>Sponsor!D95</f>
        <v>0</v>
      </c>
      <c r="E92" s="8"/>
      <c r="F92" s="8"/>
      <c r="G92" s="8"/>
      <c r="H92" s="8"/>
      <c r="I92" s="8"/>
      <c r="J92" s="31">
        <f t="shared" si="32"/>
        <v>0</v>
      </c>
      <c r="K92" s="32">
        <f t="shared" si="33"/>
        <v>0</v>
      </c>
      <c r="L92" s="8"/>
      <c r="M92" s="8"/>
      <c r="N92" s="78">
        <f t="shared" si="28"/>
        <v>0</v>
      </c>
      <c r="O92" s="237"/>
      <c r="P92" s="237"/>
    </row>
    <row r="93" spans="1:26" ht="12.95" customHeight="1">
      <c r="A93" s="679" t="str">
        <f>IF(Sponsor!A96 &lt;&gt;"",Sponsor!A96,"")</f>
        <v/>
      </c>
      <c r="B93" s="85" t="str">
        <f>IF(Sponsor!B96 &lt;&gt;"",Sponsor!B96,"")</f>
        <v/>
      </c>
      <c r="C93" s="684" t="str">
        <f>IF(Sponsor!C96="","",Sponsor!C96)</f>
        <v/>
      </c>
      <c r="D93" s="106">
        <f>Sponsor!D96</f>
        <v>0</v>
      </c>
      <c r="E93" s="8"/>
      <c r="F93" s="8"/>
      <c r="G93" s="8"/>
      <c r="H93" s="8"/>
      <c r="I93" s="8"/>
      <c r="J93" s="31">
        <f t="shared" si="32"/>
        <v>0</v>
      </c>
      <c r="K93" s="32">
        <f t="shared" si="33"/>
        <v>0</v>
      </c>
      <c r="L93" s="8"/>
      <c r="M93" s="8"/>
      <c r="N93" s="78">
        <f t="shared" si="28"/>
        <v>0</v>
      </c>
      <c r="O93" s="237"/>
      <c r="P93" s="237"/>
    </row>
    <row r="94" spans="1:26" ht="12.95" customHeight="1">
      <c r="A94" s="679" t="str">
        <f>IF(Sponsor!A97 &lt;&gt;"",Sponsor!A97,"")</f>
        <v/>
      </c>
      <c r="B94" s="85" t="str">
        <f>IF(Sponsor!B97 &lt;&gt;"",Sponsor!B97,"")</f>
        <v/>
      </c>
      <c r="C94" s="684" t="str">
        <f>IF(Sponsor!C97="","",Sponsor!C97)</f>
        <v/>
      </c>
      <c r="D94" s="106">
        <f>Sponsor!D97</f>
        <v>0</v>
      </c>
      <c r="E94" s="8"/>
      <c r="F94" s="8"/>
      <c r="G94" s="8"/>
      <c r="H94" s="8"/>
      <c r="I94" s="8"/>
      <c r="J94" s="31">
        <f t="shared" si="32"/>
        <v>0</v>
      </c>
      <c r="K94" s="32">
        <f t="shared" si="33"/>
        <v>0</v>
      </c>
      <c r="L94" s="8"/>
      <c r="M94" s="8"/>
      <c r="N94" s="78">
        <f t="shared" si="28"/>
        <v>0</v>
      </c>
      <c r="O94" s="237"/>
      <c r="P94" s="237"/>
    </row>
    <row r="95" spans="1:26" ht="12.95" customHeight="1">
      <c r="A95" s="679" t="str">
        <f>IF(Sponsor!A98 &lt;&gt;"",Sponsor!A98,"")</f>
        <v/>
      </c>
      <c r="B95" s="85" t="str">
        <f>IF(Sponsor!B98 &lt;&gt;"",Sponsor!B98,"")</f>
        <v/>
      </c>
      <c r="C95" s="684" t="str">
        <f>IF(Sponsor!C98="","",Sponsor!C98)</f>
        <v/>
      </c>
      <c r="D95" s="106">
        <f>Sponsor!D98</f>
        <v>0</v>
      </c>
      <c r="E95" s="8"/>
      <c r="F95" s="8"/>
      <c r="G95" s="8"/>
      <c r="H95" s="8"/>
      <c r="I95" s="8"/>
      <c r="J95" s="31">
        <f t="shared" si="32"/>
        <v>0</v>
      </c>
      <c r="K95" s="32">
        <f t="shared" si="33"/>
        <v>0</v>
      </c>
      <c r="L95" s="8"/>
      <c r="M95" s="8"/>
      <c r="N95" s="78">
        <f t="shared" si="28"/>
        <v>0</v>
      </c>
      <c r="O95" s="237"/>
      <c r="P95" s="237"/>
    </row>
    <row r="96" spans="1:26" ht="12.95" customHeight="1">
      <c r="A96" s="679" t="str">
        <f>IF(Sponsor!A99 &lt;&gt;"",Sponsor!A99,"")</f>
        <v/>
      </c>
      <c r="B96" s="85" t="str">
        <f>IF(Sponsor!B99 &lt;&gt;"",Sponsor!B99,"")</f>
        <v/>
      </c>
      <c r="C96" s="684" t="str">
        <f>IF(Sponsor!C99="","",Sponsor!C99)</f>
        <v/>
      </c>
      <c r="D96" s="106">
        <f>Sponsor!D99</f>
        <v>0</v>
      </c>
      <c r="E96" s="8"/>
      <c r="F96" s="8"/>
      <c r="G96" s="8"/>
      <c r="H96" s="8"/>
      <c r="I96" s="8"/>
      <c r="J96" s="31">
        <f t="shared" si="32"/>
        <v>0</v>
      </c>
      <c r="K96" s="32">
        <f t="shared" si="33"/>
        <v>0</v>
      </c>
      <c r="L96" s="8"/>
      <c r="M96" s="8"/>
      <c r="N96" s="78">
        <f t="shared" si="28"/>
        <v>0</v>
      </c>
      <c r="O96" s="237"/>
      <c r="P96" s="237"/>
    </row>
    <row r="97" spans="1:18" ht="12.95" customHeight="1">
      <c r="A97" s="679" t="str">
        <f>IF(Sponsor!A100 &lt;&gt;"",Sponsor!A100,"")</f>
        <v/>
      </c>
      <c r="B97" s="85" t="str">
        <f>IF(Sponsor!B100 &lt;&gt;"",Sponsor!B100,"")</f>
        <v/>
      </c>
      <c r="C97" s="684" t="str">
        <f>IF(Sponsor!C100="","",Sponsor!C100)</f>
        <v/>
      </c>
      <c r="D97" s="106">
        <f>Sponsor!D100</f>
        <v>0</v>
      </c>
      <c r="E97" s="8"/>
      <c r="F97" s="8"/>
      <c r="G97" s="8"/>
      <c r="H97" s="8"/>
      <c r="I97" s="8"/>
      <c r="J97" s="31">
        <f t="shared" si="32"/>
        <v>0</v>
      </c>
      <c r="K97" s="32">
        <f t="shared" si="33"/>
        <v>0</v>
      </c>
      <c r="L97" s="8"/>
      <c r="M97" s="8"/>
      <c r="N97" s="78">
        <f t="shared" si="28"/>
        <v>0</v>
      </c>
      <c r="O97" s="237"/>
      <c r="P97" s="237"/>
    </row>
    <row r="98" spans="1:18" ht="12.95" customHeight="1">
      <c r="A98" s="679" t="str">
        <f>IF(Sponsor!A101 &lt;&gt;"",Sponsor!A101,"")</f>
        <v/>
      </c>
      <c r="B98" s="85" t="str">
        <f>IF(Sponsor!B101 &lt;&gt;"",Sponsor!B101,"")</f>
        <v/>
      </c>
      <c r="C98" s="684" t="str">
        <f>IF(Sponsor!C101="","",Sponsor!C101)</f>
        <v/>
      </c>
      <c r="D98" s="106">
        <f>Sponsor!D101</f>
        <v>0</v>
      </c>
      <c r="E98" s="8"/>
      <c r="F98" s="8"/>
      <c r="G98" s="8"/>
      <c r="H98" s="8"/>
      <c r="I98" s="8"/>
      <c r="J98" s="31">
        <f t="shared" si="32"/>
        <v>0</v>
      </c>
      <c r="K98" s="32">
        <f t="shared" si="33"/>
        <v>0</v>
      </c>
      <c r="L98" s="8"/>
      <c r="M98" s="8"/>
      <c r="N98" s="78">
        <f t="shared" si="28"/>
        <v>0</v>
      </c>
      <c r="O98" s="237"/>
      <c r="P98" s="237"/>
    </row>
    <row r="99" spans="1:18" ht="12.95" customHeight="1">
      <c r="A99" s="679" t="str">
        <f>IF(Sponsor!A102 &lt;&gt;"",Sponsor!A102,"")</f>
        <v/>
      </c>
      <c r="B99" s="85" t="str">
        <f>IF(Sponsor!B102 &lt;&gt;"",Sponsor!B102,"")</f>
        <v/>
      </c>
      <c r="C99" s="684" t="str">
        <f>IF(Sponsor!C102="","",Sponsor!C102)</f>
        <v/>
      </c>
      <c r="D99" s="106">
        <f>Sponsor!D102</f>
        <v>0</v>
      </c>
      <c r="E99" s="8"/>
      <c r="F99" s="8"/>
      <c r="G99" s="8"/>
      <c r="H99" s="8"/>
      <c r="I99" s="8"/>
      <c r="J99" s="31">
        <f t="shared" si="32"/>
        <v>0</v>
      </c>
      <c r="K99" s="32">
        <f t="shared" si="33"/>
        <v>0</v>
      </c>
      <c r="L99" s="8"/>
      <c r="M99" s="8"/>
      <c r="N99" s="78">
        <f t="shared" si="28"/>
        <v>0</v>
      </c>
      <c r="O99" s="237"/>
      <c r="P99" s="237"/>
    </row>
    <row r="100" spans="1:18" ht="12.95" customHeight="1">
      <c r="A100" s="679" t="str">
        <f>IF(Sponsor!A103 &lt;&gt;"",Sponsor!A103,"")</f>
        <v/>
      </c>
      <c r="B100" s="85" t="str">
        <f>IF(Sponsor!B103 &lt;&gt;"",Sponsor!B103,"")</f>
        <v/>
      </c>
      <c r="C100" s="684" t="str">
        <f>IF(Sponsor!C103="","",Sponsor!C103)</f>
        <v/>
      </c>
      <c r="D100" s="106">
        <f>Sponsor!D103</f>
        <v>0</v>
      </c>
      <c r="E100" s="8"/>
      <c r="F100" s="8"/>
      <c r="G100" s="8"/>
      <c r="H100" s="8"/>
      <c r="I100" s="8"/>
      <c r="J100" s="31">
        <f t="shared" si="32"/>
        <v>0</v>
      </c>
      <c r="K100" s="32">
        <f t="shared" si="33"/>
        <v>0</v>
      </c>
      <c r="L100" s="8"/>
      <c r="M100" s="8"/>
      <c r="N100" s="78">
        <f t="shared" si="28"/>
        <v>0</v>
      </c>
      <c r="O100" s="237"/>
      <c r="P100" s="237"/>
    </row>
    <row r="101" spans="1:18" ht="12.95" customHeight="1">
      <c r="A101" s="679" t="str">
        <f>IF(Sponsor!A104 &lt;&gt;"",Sponsor!A104,"")</f>
        <v/>
      </c>
      <c r="B101" s="85" t="str">
        <f>IF(Sponsor!B104 &lt;&gt;"",Sponsor!B104,"")</f>
        <v/>
      </c>
      <c r="C101" s="684" t="str">
        <f>IF(Sponsor!C104="","",Sponsor!C104)</f>
        <v/>
      </c>
      <c r="D101" s="106">
        <f>Sponsor!D104</f>
        <v>0</v>
      </c>
      <c r="E101" s="8"/>
      <c r="F101" s="8"/>
      <c r="G101" s="8"/>
      <c r="H101" s="8"/>
      <c r="I101" s="8"/>
      <c r="J101" s="31">
        <f t="shared" si="32"/>
        <v>0</v>
      </c>
      <c r="K101" s="32">
        <f t="shared" si="33"/>
        <v>0</v>
      </c>
      <c r="L101" s="8"/>
      <c r="M101" s="8"/>
      <c r="N101" s="94">
        <f t="shared" si="28"/>
        <v>0</v>
      </c>
      <c r="O101" s="237"/>
      <c r="P101" s="237"/>
    </row>
    <row r="102" spans="1:18" ht="12.95" customHeight="1" thickBot="1">
      <c r="A102" s="156"/>
      <c r="B102" s="768" t="s">
        <v>672</v>
      </c>
      <c r="C102" s="768"/>
      <c r="D102" s="71">
        <f>Sponsor!D105</f>
        <v>0</v>
      </c>
      <c r="E102" s="295">
        <f t="shared" ref="E102:N102" si="34">SUM(E86:E101)</f>
        <v>0</v>
      </c>
      <c r="F102" s="295">
        <f t="shared" si="34"/>
        <v>0</v>
      </c>
      <c r="G102" s="295">
        <f t="shared" si="34"/>
        <v>0</v>
      </c>
      <c r="H102" s="295">
        <f t="shared" si="34"/>
        <v>0</v>
      </c>
      <c r="I102" s="295">
        <f t="shared" si="34"/>
        <v>0</v>
      </c>
      <c r="J102" s="293">
        <f t="shared" si="34"/>
        <v>0</v>
      </c>
      <c r="K102" s="293">
        <f t="shared" si="34"/>
        <v>0</v>
      </c>
      <c r="L102" s="295">
        <f t="shared" si="34"/>
        <v>0</v>
      </c>
      <c r="M102" s="295">
        <f t="shared" si="34"/>
        <v>0</v>
      </c>
      <c r="N102" s="79">
        <f t="shared" si="34"/>
        <v>0</v>
      </c>
      <c r="O102" s="238"/>
      <c r="P102" s="238"/>
    </row>
    <row r="103" spans="1:18" ht="12.95" customHeight="1">
      <c r="A103" s="156"/>
      <c r="B103" s="210" t="s">
        <v>673</v>
      </c>
      <c r="C103" s="230"/>
      <c r="D103" s="230"/>
      <c r="E103" s="230"/>
      <c r="F103" s="230"/>
      <c r="G103" s="230"/>
      <c r="H103" s="230"/>
      <c r="I103" s="230"/>
      <c r="J103" s="230"/>
      <c r="K103" s="230"/>
      <c r="L103" s="230"/>
      <c r="M103" s="230"/>
      <c r="N103" s="231"/>
    </row>
    <row r="104" spans="1:18" ht="12.95" customHeight="1">
      <c r="A104" s="679" t="str">
        <f>IF(Sponsor!A107="","",Sponsor!A107)</f>
        <v/>
      </c>
      <c r="B104" s="85" t="str">
        <f>IF(Sponsor!B107 &lt;&gt;"",Sponsor!B107,"")</f>
        <v/>
      </c>
      <c r="C104" s="680" t="str">
        <f>IF(Sponsor!C107="","",Sponsor!C107)</f>
        <v/>
      </c>
      <c r="D104" s="108">
        <f>Sponsor!D107</f>
        <v>0</v>
      </c>
      <c r="E104" s="9"/>
      <c r="F104" s="9"/>
      <c r="G104" s="9"/>
      <c r="H104" s="9"/>
      <c r="I104" s="9"/>
      <c r="J104" s="23">
        <f t="shared" ref="J104:J109" si="35">SUM(E104:I104)</f>
        <v>0</v>
      </c>
      <c r="K104" s="32">
        <f t="shared" ref="K104:K109" si="36">D104+J104</f>
        <v>0</v>
      </c>
      <c r="L104" s="12"/>
      <c r="M104" s="13"/>
      <c r="N104" s="175">
        <f t="shared" si="28"/>
        <v>0</v>
      </c>
      <c r="O104" s="722" t="s">
        <v>507</v>
      </c>
      <c r="P104" s="723"/>
      <c r="Q104" s="723"/>
      <c r="R104" s="723"/>
    </row>
    <row r="105" spans="1:18" ht="12.95" customHeight="1">
      <c r="A105" s="679" t="str">
        <f>IF(Sponsor!A108="","",Sponsor!A108)</f>
        <v/>
      </c>
      <c r="B105" s="85" t="str">
        <f>IF(Sponsor!B108 &lt;&gt;"",Sponsor!B108,"")</f>
        <v/>
      </c>
      <c r="C105" s="680" t="str">
        <f>IF(Sponsor!C108="","",Sponsor!C108)</f>
        <v/>
      </c>
      <c r="D105" s="108">
        <f>Sponsor!D108</f>
        <v>0</v>
      </c>
      <c r="E105" s="9"/>
      <c r="F105" s="9"/>
      <c r="G105" s="9"/>
      <c r="H105" s="9"/>
      <c r="I105" s="9"/>
      <c r="J105" s="23">
        <f t="shared" si="35"/>
        <v>0</v>
      </c>
      <c r="K105" s="32">
        <f t="shared" si="36"/>
        <v>0</v>
      </c>
      <c r="L105" s="10"/>
      <c r="M105" s="9"/>
      <c r="N105" s="173">
        <f t="shared" si="28"/>
        <v>0</v>
      </c>
      <c r="O105" s="211" t="s">
        <v>508</v>
      </c>
      <c r="P105" s="721" t="s">
        <v>509</v>
      </c>
      <c r="Q105" s="721"/>
      <c r="R105" s="721"/>
    </row>
    <row r="106" spans="1:18" ht="12.95" customHeight="1">
      <c r="A106" s="679" t="str">
        <f>IF(Sponsor!A109="","",Sponsor!A109)</f>
        <v/>
      </c>
      <c r="B106" s="85" t="str">
        <f>IF(Sponsor!B109 &lt;&gt;"",Sponsor!B109,"")</f>
        <v/>
      </c>
      <c r="C106" s="680" t="str">
        <f>IF(Sponsor!C109="","",Sponsor!C109)</f>
        <v/>
      </c>
      <c r="D106" s="108">
        <f>Sponsor!D109</f>
        <v>0</v>
      </c>
      <c r="E106" s="9"/>
      <c r="F106" s="9"/>
      <c r="G106" s="9"/>
      <c r="H106" s="9"/>
      <c r="I106" s="9"/>
      <c r="J106" s="23">
        <f t="shared" si="35"/>
        <v>0</v>
      </c>
      <c r="K106" s="32">
        <f t="shared" si="36"/>
        <v>0</v>
      </c>
      <c r="L106" s="10"/>
      <c r="M106" s="9"/>
      <c r="N106" s="173">
        <f t="shared" si="28"/>
        <v>0</v>
      </c>
      <c r="O106" s="212">
        <v>62300</v>
      </c>
      <c r="P106" s="296" t="s">
        <v>510</v>
      </c>
      <c r="Q106" s="296"/>
      <c r="R106" s="296"/>
    </row>
    <row r="107" spans="1:18" ht="12.95" customHeight="1">
      <c r="A107" s="679" t="str">
        <f>IF(Sponsor!A110="","",Sponsor!A110)</f>
        <v/>
      </c>
      <c r="B107" s="85" t="str">
        <f>IF(Sponsor!B110 &lt;&gt;"",Sponsor!B110,"")</f>
        <v/>
      </c>
      <c r="C107" s="680" t="str">
        <f>IF(Sponsor!C110="","",Sponsor!C110)</f>
        <v/>
      </c>
      <c r="D107" s="108">
        <f>Sponsor!D110</f>
        <v>0</v>
      </c>
      <c r="E107" s="9"/>
      <c r="F107" s="9"/>
      <c r="G107" s="9"/>
      <c r="H107" s="9"/>
      <c r="I107" s="9"/>
      <c r="J107" s="23">
        <f t="shared" si="35"/>
        <v>0</v>
      </c>
      <c r="K107" s="32">
        <f t="shared" si="36"/>
        <v>0</v>
      </c>
      <c r="L107" s="10"/>
      <c r="M107" s="9"/>
      <c r="N107" s="173">
        <f t="shared" si="28"/>
        <v>0</v>
      </c>
      <c r="O107" s="211" t="s">
        <v>512</v>
      </c>
      <c r="P107" s="736" t="s">
        <v>513</v>
      </c>
      <c r="Q107" s="737"/>
      <c r="R107" s="737"/>
    </row>
    <row r="108" spans="1:18" ht="12.95" customHeight="1">
      <c r="A108" s="679" t="str">
        <f>IF(Sponsor!A111="","",Sponsor!A111)</f>
        <v/>
      </c>
      <c r="B108" s="85" t="str">
        <f>IF(Sponsor!B111 &lt;&gt;"",Sponsor!B111,"")</f>
        <v/>
      </c>
      <c r="C108" s="680" t="str">
        <f>IF(Sponsor!C111="","",Sponsor!C111)</f>
        <v/>
      </c>
      <c r="D108" s="108">
        <f>Sponsor!D111</f>
        <v>0</v>
      </c>
      <c r="E108" s="10"/>
      <c r="F108" s="9"/>
      <c r="G108" s="9"/>
      <c r="H108" s="9"/>
      <c r="I108" s="9"/>
      <c r="J108" s="23">
        <f t="shared" si="35"/>
        <v>0</v>
      </c>
      <c r="K108" s="32">
        <f t="shared" si="36"/>
        <v>0</v>
      </c>
      <c r="L108" s="10"/>
      <c r="M108" s="9"/>
      <c r="N108" s="173">
        <f t="shared" si="28"/>
        <v>0</v>
      </c>
      <c r="O108" s="211" t="s">
        <v>515</v>
      </c>
      <c r="P108" s="736" t="s">
        <v>516</v>
      </c>
      <c r="Q108" s="737"/>
      <c r="R108" s="737"/>
    </row>
    <row r="109" spans="1:18" ht="12.95" customHeight="1">
      <c r="A109" s="156"/>
      <c r="B109" s="886" t="s">
        <v>674</v>
      </c>
      <c r="C109" s="886"/>
      <c r="D109" s="24">
        <f>Sponsor!D112</f>
        <v>0</v>
      </c>
      <c r="E109" s="62">
        <f>SUM(E104:E108)</f>
        <v>0</v>
      </c>
      <c r="F109" s="40">
        <f>SUM(F104:F108)</f>
        <v>0</v>
      </c>
      <c r="G109" s="40">
        <f>SUM(G104:G108)</f>
        <v>0</v>
      </c>
      <c r="H109" s="40">
        <f>SUM(H104:H108)</f>
        <v>0</v>
      </c>
      <c r="I109" s="40">
        <f>SUM(I104:I108)</f>
        <v>0</v>
      </c>
      <c r="J109" s="40">
        <f t="shared" si="35"/>
        <v>0</v>
      </c>
      <c r="K109" s="24">
        <f t="shared" si="36"/>
        <v>0</v>
      </c>
      <c r="L109" s="40">
        <f>SUM(L104:L108)</f>
        <v>0</v>
      </c>
      <c r="M109" s="40">
        <f>SUM(M104:M108)</f>
        <v>0</v>
      </c>
      <c r="N109" s="175">
        <f t="shared" si="28"/>
        <v>0</v>
      </c>
    </row>
    <row r="110" spans="1:18">
      <c r="A110" s="156"/>
      <c r="B110" s="911" t="s">
        <v>675</v>
      </c>
      <c r="C110" s="912"/>
      <c r="D110" s="912"/>
      <c r="E110" s="912"/>
      <c r="F110" s="912"/>
      <c r="G110" s="912"/>
      <c r="H110" s="912"/>
      <c r="I110" s="912"/>
      <c r="J110" s="1047"/>
      <c r="K110" s="1047"/>
      <c r="L110" s="1047"/>
      <c r="M110" s="1047"/>
      <c r="N110" s="1054"/>
    </row>
    <row r="111" spans="1:18" ht="12.95" customHeight="1">
      <c r="A111" s="679">
        <f>IF(Sponsor!A115="","",Sponsor!A115)</f>
        <v>60900</v>
      </c>
      <c r="B111" s="147" t="str">
        <f>IF(Sponsor!B115 &lt;&gt;"",Sponsor!B115,"")</f>
        <v/>
      </c>
      <c r="C111" s="139" t="str">
        <f>IF(Sponsor!C115="","",Sponsor!C115)</f>
        <v>Publications</v>
      </c>
      <c r="D111" s="108">
        <f>Sponsor!D115</f>
        <v>0</v>
      </c>
      <c r="E111" s="9"/>
      <c r="F111" s="9"/>
      <c r="G111" s="9"/>
      <c r="H111" s="9"/>
      <c r="I111" s="9"/>
      <c r="J111" s="23">
        <f>SUM(E111:I111)</f>
        <v>0</v>
      </c>
      <c r="K111" s="32">
        <f>D111+J111</f>
        <v>0</v>
      </c>
      <c r="L111" s="9"/>
      <c r="M111" s="9"/>
      <c r="N111" s="173">
        <f>SUM(K111:M111)</f>
        <v>0</v>
      </c>
      <c r="O111" s="237"/>
      <c r="P111" s="237"/>
    </row>
    <row r="112" spans="1:18" ht="12.95" customHeight="1">
      <c r="A112" s="679" t="str">
        <f>IF(Sponsor!A116="","",Sponsor!A116)</f>
        <v/>
      </c>
      <c r="B112" s="85" t="str">
        <f>IF(Sponsor!B116 &lt;&gt;"",Sponsor!B116,"")</f>
        <v/>
      </c>
      <c r="C112" s="680" t="str">
        <f>IF(Sponsor!C116="","",Sponsor!C116)</f>
        <v/>
      </c>
      <c r="D112" s="108">
        <f>Sponsor!D116</f>
        <v>0</v>
      </c>
      <c r="E112" s="9"/>
      <c r="F112" s="9"/>
      <c r="G112" s="9"/>
      <c r="H112" s="9"/>
      <c r="I112" s="9"/>
      <c r="J112" s="23">
        <f>SUM(E112:I112)</f>
        <v>0</v>
      </c>
      <c r="K112" s="32">
        <f>D112+J112</f>
        <v>0</v>
      </c>
      <c r="L112" s="9"/>
      <c r="M112" s="9"/>
      <c r="N112" s="173">
        <f>SUM(K112:M112)</f>
        <v>0</v>
      </c>
      <c r="O112" s="237"/>
      <c r="P112" s="237"/>
    </row>
    <row r="113" spans="1:30" ht="12.95" customHeight="1">
      <c r="A113" s="679" t="str">
        <f>IF(Sponsor!A117="","",Sponsor!A117)</f>
        <v/>
      </c>
      <c r="B113" s="85" t="str">
        <f>IF(Sponsor!B117 &lt;&gt;"",Sponsor!B117,"")</f>
        <v/>
      </c>
      <c r="C113" s="680" t="str">
        <f>IF(Sponsor!C117="","",Sponsor!C117)</f>
        <v/>
      </c>
      <c r="D113" s="108">
        <f>Sponsor!D117</f>
        <v>0</v>
      </c>
      <c r="E113" s="9"/>
      <c r="F113" s="9"/>
      <c r="G113" s="9"/>
      <c r="H113" s="9"/>
      <c r="I113" s="9"/>
      <c r="J113" s="297">
        <f>SUM(E113:I113)</f>
        <v>0</v>
      </c>
      <c r="K113" s="32">
        <f>D113+J113</f>
        <v>0</v>
      </c>
      <c r="L113" s="9"/>
      <c r="M113" s="9"/>
      <c r="N113" s="173">
        <f>SUM(K113:M113)</f>
        <v>0</v>
      </c>
      <c r="O113" s="237"/>
      <c r="P113" s="237"/>
    </row>
    <row r="114" spans="1:30">
      <c r="A114" s="679" t="str">
        <f>IF(Sponsor!A118="","",Sponsor!A118)</f>
        <v/>
      </c>
      <c r="B114" s="147" t="str">
        <f>IF(Sponsor!B118="","",Sponsor!B118)</f>
        <v/>
      </c>
      <c r="C114" s="139" t="str">
        <f>IF(Sponsor!C118="","",Sponsor!C118)</f>
        <v/>
      </c>
      <c r="D114" s="106">
        <f>Sponsor!D118</f>
        <v>0</v>
      </c>
      <c r="E114" s="8"/>
      <c r="F114" s="8"/>
      <c r="G114" s="8"/>
      <c r="H114" s="8"/>
      <c r="I114" s="8"/>
      <c r="J114" s="11">
        <f t="shared" ref="J114:J119" si="37">SUM(E114:I114)</f>
        <v>0</v>
      </c>
      <c r="K114" s="32">
        <f t="shared" ref="K114:K119" si="38">D114+J114</f>
        <v>0</v>
      </c>
      <c r="L114" s="88"/>
      <c r="M114" s="88"/>
      <c r="N114" s="78">
        <f t="shared" ref="N114:N119" si="39">K114+SUM(L114:M114)</f>
        <v>0</v>
      </c>
    </row>
    <row r="115" spans="1:30">
      <c r="A115" s="679" t="str">
        <f>IF(Sponsor!A119="","",Sponsor!A119)</f>
        <v/>
      </c>
      <c r="B115" s="85" t="str">
        <f>IF(Sponsor!B119="","",Sponsor!B119)</f>
        <v/>
      </c>
      <c r="C115" s="680" t="str">
        <f>IF(Sponsor!C119="","",Sponsor!C119)</f>
        <v/>
      </c>
      <c r="D115" s="106">
        <f>Sponsor!D119</f>
        <v>0</v>
      </c>
      <c r="E115" s="8"/>
      <c r="F115" s="8"/>
      <c r="G115" s="8"/>
      <c r="H115" s="8"/>
      <c r="I115" s="8"/>
      <c r="J115" s="11">
        <f t="shared" si="37"/>
        <v>0</v>
      </c>
      <c r="K115" s="32">
        <f t="shared" si="38"/>
        <v>0</v>
      </c>
      <c r="L115" s="88"/>
      <c r="M115" s="88"/>
      <c r="N115" s="78">
        <f t="shared" si="39"/>
        <v>0</v>
      </c>
    </row>
    <row r="116" spans="1:30">
      <c r="A116" s="679" t="str">
        <f>IF(Sponsor!A120="","",Sponsor!A120)</f>
        <v/>
      </c>
      <c r="B116" s="85" t="str">
        <f>IF(Sponsor!B120="","",Sponsor!B120)</f>
        <v/>
      </c>
      <c r="C116" s="680" t="str">
        <f>IF(Sponsor!C120="","",Sponsor!C120)</f>
        <v/>
      </c>
      <c r="D116" s="106">
        <f>Sponsor!D120</f>
        <v>0</v>
      </c>
      <c r="E116" s="8"/>
      <c r="F116" s="8"/>
      <c r="G116" s="8"/>
      <c r="H116" s="8"/>
      <c r="I116" s="8"/>
      <c r="J116" s="11">
        <f t="shared" si="37"/>
        <v>0</v>
      </c>
      <c r="K116" s="32">
        <f t="shared" si="38"/>
        <v>0</v>
      </c>
      <c r="L116" s="8"/>
      <c r="M116" s="88"/>
      <c r="N116" s="78">
        <f t="shared" si="39"/>
        <v>0</v>
      </c>
    </row>
    <row r="117" spans="1:30">
      <c r="A117" s="679" t="str">
        <f>IF(Sponsor!A121="","",Sponsor!A121)</f>
        <v/>
      </c>
      <c r="B117" s="85" t="str">
        <f>IF(Sponsor!B121="","",Sponsor!B121)</f>
        <v/>
      </c>
      <c r="C117" s="680" t="str">
        <f>IF(Sponsor!C121="","",Sponsor!C121)</f>
        <v/>
      </c>
      <c r="D117" s="106">
        <f>Sponsor!D121</f>
        <v>0</v>
      </c>
      <c r="E117" s="8"/>
      <c r="F117" s="8"/>
      <c r="G117" s="8"/>
      <c r="H117" s="8"/>
      <c r="I117" s="8"/>
      <c r="J117" s="11">
        <f t="shared" si="37"/>
        <v>0</v>
      </c>
      <c r="K117" s="32">
        <f t="shared" si="38"/>
        <v>0</v>
      </c>
      <c r="L117" s="88"/>
      <c r="M117" s="88"/>
      <c r="N117" s="78">
        <f t="shared" si="39"/>
        <v>0</v>
      </c>
    </row>
    <row r="118" spans="1:30">
      <c r="A118" s="679" t="str">
        <f>IF(Sponsor!A122="","",Sponsor!A122)</f>
        <v/>
      </c>
      <c r="B118" s="85" t="str">
        <f>IF(Sponsor!B122="","",Sponsor!B122)</f>
        <v/>
      </c>
      <c r="C118" s="680" t="str">
        <f>IF(Sponsor!C122="","",Sponsor!C122)</f>
        <v/>
      </c>
      <c r="D118" s="106">
        <f>Sponsor!D122</f>
        <v>0</v>
      </c>
      <c r="E118" s="8"/>
      <c r="F118" s="8"/>
      <c r="G118" s="8"/>
      <c r="H118" s="8"/>
      <c r="I118" s="8"/>
      <c r="J118" s="11">
        <f t="shared" si="37"/>
        <v>0</v>
      </c>
      <c r="K118" s="32">
        <f t="shared" si="38"/>
        <v>0</v>
      </c>
      <c r="L118" s="88"/>
      <c r="M118" s="88"/>
      <c r="N118" s="78">
        <f t="shared" si="39"/>
        <v>0</v>
      </c>
    </row>
    <row r="119" spans="1:30">
      <c r="A119" s="679" t="str">
        <f>IF(Sponsor!A123="","",Sponsor!A123)</f>
        <v/>
      </c>
      <c r="B119" s="85" t="str">
        <f>IF(Sponsor!B123="","",Sponsor!B123)</f>
        <v/>
      </c>
      <c r="C119" s="680" t="str">
        <f>IF(Sponsor!C123="","",Sponsor!C123)</f>
        <v/>
      </c>
      <c r="D119" s="298">
        <f>Sponsor!D123</f>
        <v>0</v>
      </c>
      <c r="E119" s="8"/>
      <c r="F119" s="8"/>
      <c r="G119" s="8"/>
      <c r="H119" s="8"/>
      <c r="I119" s="8"/>
      <c r="J119" s="299">
        <f t="shared" si="37"/>
        <v>0</v>
      </c>
      <c r="K119" s="298">
        <f t="shared" si="38"/>
        <v>0</v>
      </c>
      <c r="L119" s="88"/>
      <c r="M119" s="88"/>
      <c r="N119" s="94">
        <f t="shared" si="39"/>
        <v>0</v>
      </c>
    </row>
    <row r="120" spans="1:30" ht="13.5" thickBot="1">
      <c r="A120" s="199"/>
      <c r="B120" s="768" t="s">
        <v>584</v>
      </c>
      <c r="C120" s="885"/>
      <c r="D120" s="72">
        <f>Sponsor!D124</f>
        <v>0</v>
      </c>
      <c r="E120" s="99">
        <f t="shared" ref="E120:N120" si="40">SUM(E111:E119)</f>
        <v>0</v>
      </c>
      <c r="F120" s="128">
        <f t="shared" si="40"/>
        <v>0</v>
      </c>
      <c r="G120" s="128">
        <f t="shared" si="40"/>
        <v>0</v>
      </c>
      <c r="H120" s="128">
        <f t="shared" si="40"/>
        <v>0</v>
      </c>
      <c r="I120" s="128">
        <f t="shared" si="40"/>
        <v>0</v>
      </c>
      <c r="J120" s="300">
        <f t="shared" si="40"/>
        <v>0</v>
      </c>
      <c r="K120" s="72">
        <f t="shared" si="40"/>
        <v>0</v>
      </c>
      <c r="L120" s="99">
        <f t="shared" si="40"/>
        <v>0</v>
      </c>
      <c r="M120" s="300">
        <f t="shared" si="40"/>
        <v>0</v>
      </c>
      <c r="N120" s="76">
        <f t="shared" si="40"/>
        <v>0</v>
      </c>
      <c r="S120" s="821" t="s">
        <v>676</v>
      </c>
      <c r="T120" s="778" t="s">
        <v>587</v>
      </c>
      <c r="U120" s="730"/>
      <c r="V120" s="730"/>
      <c r="W120" s="730"/>
      <c r="X120" s="730"/>
      <c r="Y120" s="880" t="s">
        <v>677</v>
      </c>
      <c r="Z120" s="881"/>
      <c r="AA120" s="730"/>
      <c r="AB120" s="730"/>
      <c r="AC120" s="1047"/>
      <c r="AD120" s="1028"/>
    </row>
    <row r="121" spans="1:30">
      <c r="A121" s="156"/>
      <c r="B121" s="84" t="s">
        <v>678</v>
      </c>
      <c r="C121" s="227"/>
      <c r="D121" s="227"/>
      <c r="E121" s="227"/>
      <c r="F121" s="227"/>
      <c r="G121" s="227"/>
      <c r="H121" s="227"/>
      <c r="I121" s="227"/>
      <c r="J121" s="227"/>
      <c r="K121" s="227"/>
      <c r="L121" s="227"/>
      <c r="M121" s="227"/>
      <c r="N121" s="228"/>
      <c r="S121" s="882"/>
      <c r="T121" s="239" t="s">
        <v>448</v>
      </c>
      <c r="U121" s="242" t="s">
        <v>449</v>
      </c>
      <c r="V121" s="242" t="s">
        <v>450</v>
      </c>
      <c r="W121" s="242" t="s">
        <v>451</v>
      </c>
      <c r="X121" s="242" t="s">
        <v>452</v>
      </c>
      <c r="Y121" s="243" t="s">
        <v>448</v>
      </c>
      <c r="Z121" s="242"/>
      <c r="AA121" s="242" t="s">
        <v>449</v>
      </c>
      <c r="AB121" s="242" t="s">
        <v>450</v>
      </c>
      <c r="AC121" s="242" t="s">
        <v>451</v>
      </c>
      <c r="AD121" s="244" t="s">
        <v>452</v>
      </c>
    </row>
    <row r="122" spans="1:30">
      <c r="A122" s="156"/>
      <c r="B122" s="301"/>
      <c r="C122" s="302" t="s">
        <v>589</v>
      </c>
      <c r="D122" s="240"/>
      <c r="E122" s="28"/>
      <c r="F122" s="28"/>
      <c r="G122" s="28"/>
      <c r="H122" s="28"/>
      <c r="I122" s="28"/>
      <c r="J122" s="28"/>
      <c r="K122" s="189"/>
      <c r="L122" s="28"/>
      <c r="M122" s="28"/>
      <c r="N122" s="241"/>
      <c r="R122">
        <v>1</v>
      </c>
      <c r="S122" s="246" t="str">
        <f>IF(Sponsor!C127="","",Sponsor!C127)</f>
        <v/>
      </c>
      <c r="T122" s="31">
        <f>J123-Y122</f>
        <v>0</v>
      </c>
      <c r="U122" s="31">
        <f>UMYr2!J123-AA122</f>
        <v>0</v>
      </c>
      <c r="V122" s="31">
        <f>UMYr3!J123-AB122</f>
        <v>0</v>
      </c>
      <c r="W122" s="31">
        <f>UMYr4!J123-AC122</f>
        <v>0</v>
      </c>
      <c r="X122" s="31">
        <f>UMYr5!J123-AD122</f>
        <v>0</v>
      </c>
      <c r="Y122" s="111">
        <f>IF(J123&gt;25000,25000,J123)</f>
        <v>0</v>
      </c>
      <c r="Z122" s="112"/>
      <c r="AA122" s="112">
        <f>IF(Y122&lt;25000,IF(UMYr2!J123&gt;(25000-Y122),25000-Y122,UMYr2!J123),0)</f>
        <v>0</v>
      </c>
      <c r="AB122" s="112">
        <f>IF(SUM(Y122:AA122)&lt;25000,IF(UMYr3!J123&gt;(25000-SUM(Y122:AA122)),25000-SUM(Y122:AA122),UMYr3!J123),0)</f>
        <v>0</v>
      </c>
      <c r="AC122" s="119">
        <f>IF(SUM(Y122:AB122)&lt;25000,IF(UMYr4!J123&gt;(25000-SUM(Y122:AB122)),25000-SUM(Y122:AB122),UMYr4!J123),0)</f>
        <v>0</v>
      </c>
      <c r="AD122" s="166">
        <f>IF(SUM(Y122:AC122)&lt;25000,IF(UMYr5!J123&gt;(25000-SUM(Y122:AC122)),25000-SUM(Y122:AC122),UMYr5!J123),0)</f>
        <v>0</v>
      </c>
    </row>
    <row r="123" spans="1:30">
      <c r="A123" s="156"/>
      <c r="B123" s="115" t="str">
        <f>Sponsor!B127</f>
        <v>01</v>
      </c>
      <c r="C123" s="677" t="str">
        <f>IF(Sponsor!C127="","",Sponsor!C127)</f>
        <v/>
      </c>
      <c r="D123" s="638">
        <f>Sponsor!D127</f>
        <v>0</v>
      </c>
      <c r="E123" s="685"/>
      <c r="F123" s="686"/>
      <c r="G123" s="686"/>
      <c r="H123" s="686"/>
      <c r="I123" s="686"/>
      <c r="J123" s="638">
        <f>SUM(E123:I123)</f>
        <v>0</v>
      </c>
      <c r="K123" s="638">
        <f>D123+J123</f>
        <v>0</v>
      </c>
      <c r="L123" s="143"/>
      <c r="M123" s="143"/>
      <c r="N123" s="167">
        <f>K123+L123+M123</f>
        <v>0</v>
      </c>
      <c r="R123">
        <v>2</v>
      </c>
      <c r="S123" s="677" t="str">
        <f>IF(Sponsor!C130="","",Sponsor!C130)</f>
        <v/>
      </c>
      <c r="T123" s="31">
        <f>J126-Y123</f>
        <v>0</v>
      </c>
      <c r="U123" s="31">
        <f>UMYr2!J126-AA123</f>
        <v>0</v>
      </c>
      <c r="V123" s="31">
        <f>UMYr3!J126-AB123</f>
        <v>0</v>
      </c>
      <c r="W123" s="31">
        <f>UMYr4!J126-AC123</f>
        <v>0</v>
      </c>
      <c r="X123" s="31">
        <f>UMYr5!J126-AD123</f>
        <v>0</v>
      </c>
      <c r="Y123" s="111">
        <f>IF(J126&gt;25000,25000,J126)</f>
        <v>0</v>
      </c>
      <c r="Z123" s="112"/>
      <c r="AA123" s="112">
        <f>IF(Y123&lt;25000,IF(UMYr2!J126&gt;(25000-Y123),25000-Y123,UMYr2!J126),0)</f>
        <v>0</v>
      </c>
      <c r="AB123" s="112">
        <f>IF(SUM(Y123:AA123)&lt;25000,IF(UMYr3!J126&gt;(25000-SUM(Y123:AA123)),25000-SUM(Y123:AA123),UMYr3!J126),0)</f>
        <v>0</v>
      </c>
      <c r="AC123" s="112">
        <f>IF(SUM(Y123:AB123)&lt;25000,IF(UMYr4!J126&gt;(25000-SUM(Y123:AB123)),25000-SUM(Y123:AB123),UMYr4!J126),0)</f>
        <v>0</v>
      </c>
      <c r="AD123" s="11">
        <f>IF(SUM(Y123:AC123)&lt;25000,IF(UMYr5!J126&gt;(25000-SUM(Y123:AC123)),25000-SUM(Y123:AC123),UMYr5!J126),0)</f>
        <v>0</v>
      </c>
    </row>
    <row r="124" spans="1:30">
      <c r="A124" s="679">
        <f>Sponsor!A128</f>
        <v>60250</v>
      </c>
      <c r="B124" s="116"/>
      <c r="C124" s="102" t="str">
        <f>Sponsor!C128</f>
        <v>Less than $25K</v>
      </c>
      <c r="D124" s="124">
        <f>Sponsor!D128</f>
        <v>0</v>
      </c>
      <c r="E124" s="892" t="s">
        <v>679</v>
      </c>
      <c r="F124" s="900"/>
      <c r="G124" s="900"/>
      <c r="H124" s="900"/>
      <c r="I124" s="889"/>
      <c r="J124" s="673">
        <f>Y122</f>
        <v>0</v>
      </c>
      <c r="K124" s="673">
        <f t="shared" ref="K124:K182" si="41">D124+J124</f>
        <v>0</v>
      </c>
      <c r="L124" s="888" t="s">
        <v>679</v>
      </c>
      <c r="M124" s="889"/>
      <c r="N124" s="168">
        <f t="shared" ref="N124:N152" si="42">D124</f>
        <v>0</v>
      </c>
      <c r="O124" s="303">
        <v>60250</v>
      </c>
      <c r="R124">
        <v>3</v>
      </c>
      <c r="S124" s="677" t="str">
        <f>IF(Sponsor!C133="","",Sponsor!C133)</f>
        <v/>
      </c>
      <c r="T124" s="31">
        <f>J129-Y124</f>
        <v>0</v>
      </c>
      <c r="U124" s="31">
        <f>UMYr2!J129-AA124</f>
        <v>0</v>
      </c>
      <c r="V124" s="31">
        <f>UMYr3!J129-AB124</f>
        <v>0</v>
      </c>
      <c r="W124" s="31">
        <f>UMYr4!J129-AC124</f>
        <v>0</v>
      </c>
      <c r="X124" s="31">
        <f>UMYr5!J129-AD124</f>
        <v>0</v>
      </c>
      <c r="Y124" s="111">
        <f>IF(J129&gt;25000,25000,J129)</f>
        <v>0</v>
      </c>
      <c r="Z124" s="112"/>
      <c r="AA124" s="112">
        <f>IF(Y124&lt;25000,IF(UMYr2!J129&gt;(25000-Y124),25000-Y124,UMYr2!J129),0)</f>
        <v>0</v>
      </c>
      <c r="AB124" s="112">
        <f>IF(SUM(Y124:AA124)&lt;25000,IF(UMYr3!J129&gt;(25000-SUM(Y124:AA124)),25000-SUM(Y124:AA124),UMYr3!J129),0)</f>
        <v>0</v>
      </c>
      <c r="AC124" s="112">
        <f>IF(SUM(Y124:AB124)&lt;25000,IF(UMYr4!J129&gt;(25000-SUM(Y124:AB124)),25000-SUM(Y124:AB124),UMYr4!J129),0)</f>
        <v>0</v>
      </c>
      <c r="AD124" s="11">
        <f>IF(SUM(Y124:AC124)&lt;25000,IF(UMYr5!J129&gt;(25000-SUM(Y124:AC124)),25000-SUM(Y124:AC124),UMYr5!J129),0)</f>
        <v>0</v>
      </c>
    </row>
    <row r="125" spans="1:30">
      <c r="A125" s="679">
        <f>Sponsor!A129</f>
        <v>60270</v>
      </c>
      <c r="B125" s="117"/>
      <c r="C125" s="102" t="str">
        <f>Sponsor!C129</f>
        <v>Greater than $25K</v>
      </c>
      <c r="D125" s="125">
        <f>Sponsor!D129</f>
        <v>0</v>
      </c>
      <c r="E125" s="890"/>
      <c r="F125" s="901"/>
      <c r="G125" s="901"/>
      <c r="H125" s="901"/>
      <c r="I125" s="891"/>
      <c r="J125" s="673">
        <f>J123-J124</f>
        <v>0</v>
      </c>
      <c r="K125" s="673">
        <f t="shared" si="41"/>
        <v>0</v>
      </c>
      <c r="L125" s="890"/>
      <c r="M125" s="891"/>
      <c r="N125" s="169">
        <f t="shared" si="42"/>
        <v>0</v>
      </c>
      <c r="O125" s="303">
        <v>60270</v>
      </c>
      <c r="R125">
        <v>4</v>
      </c>
      <c r="S125" s="677" t="str">
        <f>IF(Sponsor!C136="","",Sponsor!C136)</f>
        <v/>
      </c>
      <c r="T125" s="31">
        <f>J132-Y125</f>
        <v>0</v>
      </c>
      <c r="U125" s="31">
        <f>UMYr2!J132-AA125</f>
        <v>0</v>
      </c>
      <c r="V125" s="31">
        <f>UMYr3!J132-AB125</f>
        <v>0</v>
      </c>
      <c r="W125" s="31">
        <f>UMYr4!J132-AC125</f>
        <v>0</v>
      </c>
      <c r="X125" s="31">
        <f>UMYr5!J132-AD125</f>
        <v>0</v>
      </c>
      <c r="Y125" s="111">
        <f>IF(J132&gt;25000,25000,J132)</f>
        <v>0</v>
      </c>
      <c r="Z125" s="112"/>
      <c r="AA125" s="112">
        <f>IF(Y125&lt;25000,IF(UMYr2!J132&gt;(25000-Y125),25000-Y125,UMYr2!J132),0)</f>
        <v>0</v>
      </c>
      <c r="AB125" s="112">
        <f>IF(SUM(Y125:AA125)&lt;25000,IF(UMYr3!J132&gt;(25000-SUM(Y125:AA125)),25000-SUM(Y125:AA125),UMYr3!J132),0)</f>
        <v>0</v>
      </c>
      <c r="AC125" s="112">
        <f>IF(SUM(Y125:AB125)&lt;25000,IF(UMYr4!J132&gt;(25000-SUM(Y125:AB125)),25000-SUM(Y125:AB125),UMYr4!J132),0)</f>
        <v>0</v>
      </c>
      <c r="AD125" s="11">
        <f>IF(SUM(Y125:AC125)&lt;25000,IF(UMYr5!J132&gt;(25000-SUM(Y125:AC125)),25000-SUM(Y125:AC125),UMYr5!J132),0)</f>
        <v>0</v>
      </c>
    </row>
    <row r="126" spans="1:30">
      <c r="A126" s="156"/>
      <c r="B126" s="115" t="str">
        <f>Sponsor!B130</f>
        <v>02</v>
      </c>
      <c r="C126" s="677" t="str">
        <f>IF(Sponsor!C130="","",Sponsor!C130)</f>
        <v/>
      </c>
      <c r="D126" s="638">
        <f>Sponsor!D130</f>
        <v>0</v>
      </c>
      <c r="E126" s="686"/>
      <c r="F126" s="686"/>
      <c r="G126" s="686"/>
      <c r="H126" s="686"/>
      <c r="I126" s="686"/>
      <c r="J126" s="638">
        <f>SUM(E126:I126)</f>
        <v>0</v>
      </c>
      <c r="K126" s="638">
        <f t="shared" si="41"/>
        <v>0</v>
      </c>
      <c r="L126" s="143"/>
      <c r="M126" s="143"/>
      <c r="N126" s="167">
        <f>K126+L126+M126</f>
        <v>0</v>
      </c>
      <c r="O126" s="304"/>
      <c r="R126">
        <v>5</v>
      </c>
      <c r="S126" s="677" t="str">
        <f>IF(Sponsor!C139="","",Sponsor!C139)</f>
        <v/>
      </c>
      <c r="T126" s="31">
        <f>J135-Y126</f>
        <v>0</v>
      </c>
      <c r="U126" s="31">
        <f>UMYr2!J135-AA126</f>
        <v>0</v>
      </c>
      <c r="V126" s="31">
        <f>UMYr3!J135-AB126</f>
        <v>0</v>
      </c>
      <c r="W126" s="31">
        <f>UMYr4!J135-AC126</f>
        <v>0</v>
      </c>
      <c r="X126" s="31">
        <f>UMYr5!J135-AD126</f>
        <v>0</v>
      </c>
      <c r="Y126" s="111">
        <f>IF(J135&gt;25000,25000,J135)</f>
        <v>0</v>
      </c>
      <c r="Z126" s="112"/>
      <c r="AA126" s="112">
        <f>IF(Y126&lt;25000,IF(UMYr2!J135&gt;(25000-Y126),25000-Y126,UMYr2!J135),0)</f>
        <v>0</v>
      </c>
      <c r="AB126" s="112">
        <f>IF(SUM(Y126:AA126)&lt;25000,IF(UMYr3!J135&gt;(25000-SUM(Y126:AA126)),25000-SUM(Y126:AA126),UMYr3!J135),0)</f>
        <v>0</v>
      </c>
      <c r="AC126" s="112">
        <f>IF(SUM(Y126:AB135)&lt;25000,IF(UMYr4!J127&gt;(25000-SUM(Y126:AB126)),25000-SUM(Y126:AB126),UMYr4!J135),0)</f>
        <v>0</v>
      </c>
      <c r="AD126" s="11">
        <f>IF(SUM(Y126:AC126)&lt;25000,IF(UMYr5!J135&gt;(25000-SUM(Y126:AC126)),25000-SUM(Y126:AC126),UMYr5!J135),0)</f>
        <v>0</v>
      </c>
    </row>
    <row r="127" spans="1:30">
      <c r="A127" s="679">
        <f>Sponsor!A131</f>
        <v>60250</v>
      </c>
      <c r="B127" s="116"/>
      <c r="C127" s="102" t="str">
        <f>Sponsor!C131</f>
        <v>Less than $25K</v>
      </c>
      <c r="D127" s="124">
        <f>Sponsor!D131</f>
        <v>0</v>
      </c>
      <c r="E127" s="903" t="s">
        <v>679</v>
      </c>
      <c r="F127" s="900"/>
      <c r="G127" s="900"/>
      <c r="H127" s="900"/>
      <c r="I127" s="889"/>
      <c r="J127" s="673">
        <f>Y123</f>
        <v>0</v>
      </c>
      <c r="K127" s="673">
        <f t="shared" si="41"/>
        <v>0</v>
      </c>
      <c r="L127" s="888" t="s">
        <v>679</v>
      </c>
      <c r="M127" s="889"/>
      <c r="N127" s="168">
        <f t="shared" si="42"/>
        <v>0</v>
      </c>
      <c r="O127" s="303">
        <v>60250</v>
      </c>
      <c r="R127">
        <v>6</v>
      </c>
      <c r="S127" s="677" t="str">
        <f>IF(Sponsor!C142="","",Sponsor!C142)</f>
        <v/>
      </c>
      <c r="T127" s="31">
        <f>J138-Y127</f>
        <v>0</v>
      </c>
      <c r="U127" s="31">
        <f>UMYr2!J138-AA127</f>
        <v>0</v>
      </c>
      <c r="V127" s="31">
        <f>UMYr3!J138-AB127</f>
        <v>0</v>
      </c>
      <c r="W127" s="31">
        <f>UMYr4!J138-AC127</f>
        <v>0</v>
      </c>
      <c r="X127" s="31">
        <f>UMYr5!J138-AD127</f>
        <v>0</v>
      </c>
      <c r="Y127" s="111">
        <f>IF(J138&gt;25000,25000,J138)</f>
        <v>0</v>
      </c>
      <c r="Z127" s="112"/>
      <c r="AA127" s="112">
        <f>IF(Y127&lt;25000,IF(UMYr2!J138&gt;(25000-Y127),25000-Y127,UMYr2!J138),0)</f>
        <v>0</v>
      </c>
      <c r="AB127" s="112">
        <f>IF(SUM(Y127:AA127)&lt;25000,IF(UMYr3!J138&gt;(25000-SUM(Y127:AA127)),25000-SUM(Y127:AA127),UMYr3!J138),0)</f>
        <v>0</v>
      </c>
      <c r="AC127" s="112">
        <f>IF(SUM(Y127:AB127)&lt;25000,IF(UMYr4!J138&gt;(25000-SUM(Y127:AB127)),25000-SUM(Y127:AB127),UMYr4!J138),0)</f>
        <v>0</v>
      </c>
      <c r="AD127" s="11">
        <f>IF(SUM(Y127:AC127)&lt;25000,IF(UMYr5!J138&gt;(25000-SUM(Y127:AC127)),25000-SUM(Y127:AC127),UMYr5!J138),0)</f>
        <v>0</v>
      </c>
    </row>
    <row r="128" spans="1:30">
      <c r="A128" s="679">
        <f>Sponsor!A132</f>
        <v>60270</v>
      </c>
      <c r="B128" s="117"/>
      <c r="C128" s="102" t="str">
        <f>Sponsor!C132</f>
        <v>Greater than $25K</v>
      </c>
      <c r="D128" s="125">
        <f>Sponsor!D132</f>
        <v>0</v>
      </c>
      <c r="E128" s="890"/>
      <c r="F128" s="901"/>
      <c r="G128" s="901"/>
      <c r="H128" s="901"/>
      <c r="I128" s="891"/>
      <c r="J128" s="673">
        <f>J126-J127</f>
        <v>0</v>
      </c>
      <c r="K128" s="673">
        <f t="shared" si="41"/>
        <v>0</v>
      </c>
      <c r="L128" s="890"/>
      <c r="M128" s="891"/>
      <c r="N128" s="169">
        <f t="shared" si="42"/>
        <v>0</v>
      </c>
      <c r="O128" s="303">
        <v>60270</v>
      </c>
      <c r="R128">
        <v>7</v>
      </c>
      <c r="S128" s="677" t="str">
        <f>IF(Sponsor!C145="","",Sponsor!C145)</f>
        <v/>
      </c>
      <c r="T128" s="31">
        <f>J141-Y128</f>
        <v>0</v>
      </c>
      <c r="U128" s="31">
        <f>UMYr2!J141-AA128</f>
        <v>0</v>
      </c>
      <c r="V128" s="31">
        <f>UMYr3!J141-AB128</f>
        <v>0</v>
      </c>
      <c r="W128" s="31">
        <f>UMYr4!J141-AC128</f>
        <v>0</v>
      </c>
      <c r="X128" s="31">
        <f>UMYr5!J141-AD128</f>
        <v>0</v>
      </c>
      <c r="Y128" s="111">
        <f>IF(J141&gt;25000,25000,J141)</f>
        <v>0</v>
      </c>
      <c r="Z128" s="112"/>
      <c r="AA128" s="112">
        <f>IF(Y128&lt;25000,IF(UMYr2!J141&gt;(25000-Y128),25000-Y128,UMYr2!J141),0)</f>
        <v>0</v>
      </c>
      <c r="AB128" s="112">
        <f>IF(SUM(Y128:AA128)&lt;25000,IF(UMYr3!J141&gt;(25000-SUM(Y128:AA128)),25000-SUM(Y128:AA128),UMYr3!J141),0)</f>
        <v>0</v>
      </c>
      <c r="AC128" s="112">
        <f>IF(SUM(Y128:AB128)&lt;25000,IF(UMYr4!J141&gt;(25000-SUM(Y128:AB128)),25000-SUM(Y128:AB128),UMYr4!J141),0)</f>
        <v>0</v>
      </c>
      <c r="AD128" s="11">
        <f>IF(SUM(Y128:AC128)&lt;25000,IF(UMYr5!J141&gt;(25000-SUM(Y128:AC128)),25000-SUM(Y128:AC128),UMYr5!J141),0)</f>
        <v>0</v>
      </c>
    </row>
    <row r="129" spans="1:30">
      <c r="A129" s="156"/>
      <c r="B129" s="115" t="str">
        <f>Sponsor!B133</f>
        <v>03</v>
      </c>
      <c r="C129" s="677" t="str">
        <f>IF(Sponsor!C133="","",Sponsor!C133)</f>
        <v/>
      </c>
      <c r="D129" s="638">
        <f>Sponsor!D133</f>
        <v>0</v>
      </c>
      <c r="E129" s="686"/>
      <c r="F129" s="686"/>
      <c r="G129" s="686"/>
      <c r="H129" s="686"/>
      <c r="I129" s="686"/>
      <c r="J129" s="638">
        <f>SUM(E129:I129)</f>
        <v>0</v>
      </c>
      <c r="K129" s="638">
        <f t="shared" si="41"/>
        <v>0</v>
      </c>
      <c r="L129" s="143"/>
      <c r="M129" s="143"/>
      <c r="N129" s="167">
        <f>K129+L129+M129</f>
        <v>0</v>
      </c>
      <c r="O129" s="304"/>
      <c r="R129">
        <v>8</v>
      </c>
      <c r="S129" s="677" t="str">
        <f>IF(Sponsor!C148="","",Sponsor!C148)</f>
        <v/>
      </c>
      <c r="T129" s="31">
        <f>J144-Y129</f>
        <v>0</v>
      </c>
      <c r="U129" s="31">
        <f>UMYr2!J144-AA129</f>
        <v>0</v>
      </c>
      <c r="V129" s="31">
        <f>UMYr3!J144-AB129</f>
        <v>0</v>
      </c>
      <c r="W129" s="31">
        <f>UMYr4!J144-AC129</f>
        <v>0</v>
      </c>
      <c r="X129" s="31">
        <f>UMYr5!J144-AD129</f>
        <v>0</v>
      </c>
      <c r="Y129" s="111">
        <f>IF(J144&gt;25000,25000,J144)</f>
        <v>0</v>
      </c>
      <c r="Z129" s="112"/>
      <c r="AA129" s="112">
        <f>IF(Y129&lt;25000,IF(UMYr2!J144&gt;(25000-Y129),25000-Y129,UMYr2!J144),0)</f>
        <v>0</v>
      </c>
      <c r="AB129" s="112">
        <f>IF(SUM(Y129:AA129)&lt;25000,IF(UMYr3!J144&gt;(25000-SUM(Y129:AA129)),25000-SUM(Y129:AA129),UMYr3!J144),0)</f>
        <v>0</v>
      </c>
      <c r="AC129" s="112">
        <f>IF(SUM(Y129:AB129)&lt;25000,IF(UMYr4!J144&gt;(25000-SUM(Y129:AB129)),25000-SUM(Y129:AB129),UMYr4!J144),0)</f>
        <v>0</v>
      </c>
      <c r="AD129" s="11">
        <f>IF(SUM(Y129:AC129)&lt;25000,IF(UMYr5!J144&gt;(25000-SUM(Y129:AC129)),25000-SUM(Y129:AC129),UMYr5!J144),0)</f>
        <v>0</v>
      </c>
    </row>
    <row r="130" spans="1:30">
      <c r="A130" s="679">
        <f>Sponsor!A134</f>
        <v>60250</v>
      </c>
      <c r="B130" s="116"/>
      <c r="C130" s="102" t="str">
        <f>Sponsor!C134</f>
        <v>Less than $25K</v>
      </c>
      <c r="D130" s="124">
        <f>Sponsor!D134</f>
        <v>0</v>
      </c>
      <c r="E130" s="903" t="s">
        <v>679</v>
      </c>
      <c r="F130" s="900"/>
      <c r="G130" s="900"/>
      <c r="H130" s="900"/>
      <c r="I130" s="889"/>
      <c r="J130" s="673">
        <f>Y124</f>
        <v>0</v>
      </c>
      <c r="K130" s="673">
        <f t="shared" si="41"/>
        <v>0</v>
      </c>
      <c r="L130" s="888" t="s">
        <v>679</v>
      </c>
      <c r="M130" s="889"/>
      <c r="N130" s="168">
        <f t="shared" si="42"/>
        <v>0</v>
      </c>
      <c r="O130" s="303">
        <v>60250</v>
      </c>
      <c r="R130">
        <v>9</v>
      </c>
      <c r="S130" s="677" t="str">
        <f>IF(Sponsor!C151="","",Sponsor!C151)</f>
        <v/>
      </c>
      <c r="T130" s="31">
        <f>J147-Y130</f>
        <v>0</v>
      </c>
      <c r="U130" s="31">
        <f>UMYr2!J147-AA130</f>
        <v>0</v>
      </c>
      <c r="V130" s="31">
        <f>UMYr3!J147-AB130</f>
        <v>0</v>
      </c>
      <c r="W130" s="31">
        <f>UMYr4!J147-AC130</f>
        <v>0</v>
      </c>
      <c r="X130" s="31">
        <f>UMYr5!J147-AD130</f>
        <v>0</v>
      </c>
      <c r="Y130" s="111">
        <f>IF(J147&gt;25000,25000,J147)</f>
        <v>0</v>
      </c>
      <c r="Z130" s="112"/>
      <c r="AA130" s="112">
        <f>IF(Y130&lt;25000,IF(UMYr2!J147&gt;(25000-Y130),25000-Y130,UMYr2!J147),0)</f>
        <v>0</v>
      </c>
      <c r="AB130" s="112">
        <f>IF(SUM(Y130:AA130)&lt;25000,IF(UMYr3!J147&gt;(25000-SUM(Y130:AA130)),25000-SUM(Y130:AA130),UMYr3!J147),0)</f>
        <v>0</v>
      </c>
      <c r="AC130" s="112">
        <f>IF(SUM(Y130:AB130)&lt;25000,IF(UMYr4!J147&gt;(25000-SUM(Y130:AB130)),25000-SUM(Y130:AB130),UMYr4!J147),0)</f>
        <v>0</v>
      </c>
      <c r="AD130" s="11">
        <f>IF(SUM(Y130:AC130)&lt;25000,IF(UMYr5!J147&gt;(25000-SUM(Y130:AC130)),25000-SUM(Y130:AC130),UMYr5!J147),0)</f>
        <v>0</v>
      </c>
    </row>
    <row r="131" spans="1:30">
      <c r="A131" s="679">
        <f>Sponsor!A135</f>
        <v>60270</v>
      </c>
      <c r="B131" s="117"/>
      <c r="C131" s="102" t="str">
        <f>Sponsor!C135</f>
        <v>Greater than $25K</v>
      </c>
      <c r="D131" s="125">
        <f>Sponsor!D135</f>
        <v>0</v>
      </c>
      <c r="E131" s="890"/>
      <c r="F131" s="901"/>
      <c r="G131" s="901"/>
      <c r="H131" s="901"/>
      <c r="I131" s="891"/>
      <c r="J131" s="673">
        <f>J129-J130</f>
        <v>0</v>
      </c>
      <c r="K131" s="673">
        <f t="shared" si="41"/>
        <v>0</v>
      </c>
      <c r="L131" s="890"/>
      <c r="M131" s="891"/>
      <c r="N131" s="169">
        <f t="shared" si="42"/>
        <v>0</v>
      </c>
      <c r="O131" s="303">
        <v>60270</v>
      </c>
      <c r="R131">
        <v>10</v>
      </c>
      <c r="S131" s="246" t="str">
        <f>IF(Sponsor!C154="","",Sponsor!C154)</f>
        <v/>
      </c>
      <c r="T131" s="31">
        <f>J150-Y131</f>
        <v>0</v>
      </c>
      <c r="U131" s="31">
        <f>UMYr2!J150-AA131</f>
        <v>0</v>
      </c>
      <c r="V131" s="31">
        <f>UMYr3!J150-AB131</f>
        <v>0</v>
      </c>
      <c r="W131" s="31">
        <f>UMYr4!J150-AC131</f>
        <v>0</v>
      </c>
      <c r="X131" s="31">
        <f>UMYr5!J150-AD131</f>
        <v>0</v>
      </c>
      <c r="Y131" s="111">
        <f>IF(J150&gt;25000,25000,J150)</f>
        <v>0</v>
      </c>
      <c r="Z131" s="112"/>
      <c r="AA131" s="112">
        <f>IF(Y131&lt;25000,IF(UMYr2!J150&gt;(25000-Y131),25000-Y131,UMYr2!J150),0)</f>
        <v>0</v>
      </c>
      <c r="AB131" s="112">
        <f>IF(SUM(Y131:AA131)&lt;25000,IF(UMYr3!J150&gt;(25000-SUM(Y131:AA131)),25000-SUM(Y131:AA131),UMYr3!J150),0)</f>
        <v>0</v>
      </c>
      <c r="AC131" s="112">
        <f>IF(SUM(Y131:AB131)&lt;25000,IF(UMYr4!J150&gt;(25000-SUM(Y131:AB131)),25000-SUM(Y131:AB131),UMYr4!J150),0)</f>
        <v>0</v>
      </c>
      <c r="AD131" s="11">
        <f>IF(SUM(Y131:AC131)&lt;25000,IF(UMYr5!J150&gt;(25000-SUM(Y131:AC131)),25000-SUM(Y131:AC131),UMYr5!J150),0)</f>
        <v>0</v>
      </c>
    </row>
    <row r="132" spans="1:30">
      <c r="A132" s="156"/>
      <c r="B132" s="115" t="str">
        <f>Sponsor!B136</f>
        <v>04</v>
      </c>
      <c r="C132" s="677" t="str">
        <f>IF(Sponsor!C136="","",Sponsor!C136)</f>
        <v/>
      </c>
      <c r="D132" s="638">
        <f>Sponsor!D136</f>
        <v>0</v>
      </c>
      <c r="E132" s="686"/>
      <c r="F132" s="686"/>
      <c r="G132" s="686"/>
      <c r="H132" s="686"/>
      <c r="I132" s="686"/>
      <c r="J132" s="638">
        <f>SUM(E132:I132)</f>
        <v>0</v>
      </c>
      <c r="K132" s="638">
        <f t="shared" si="41"/>
        <v>0</v>
      </c>
      <c r="L132" s="143"/>
      <c r="M132" s="143"/>
      <c r="N132" s="167">
        <f>K132+L132+M132</f>
        <v>0</v>
      </c>
      <c r="O132" s="304"/>
      <c r="R132">
        <v>11</v>
      </c>
      <c r="S132" s="246" t="str">
        <f>IF(Sponsor!C157="","",Sponsor!C157)</f>
        <v/>
      </c>
      <c r="T132" s="31">
        <f>J153-Y132</f>
        <v>0</v>
      </c>
      <c r="U132" s="31">
        <f>UMYr2!J153-Y132</f>
        <v>0</v>
      </c>
      <c r="V132" s="31">
        <f>UMYr3!J153-AB132</f>
        <v>0</v>
      </c>
      <c r="W132" s="31">
        <f>UMYr4!J153-AC132</f>
        <v>0</v>
      </c>
      <c r="X132" s="31">
        <f>UMYr5!J153-AD132</f>
        <v>0</v>
      </c>
      <c r="Y132" s="111">
        <f>IF(J153&gt;25000,25000,J153)</f>
        <v>0</v>
      </c>
      <c r="Z132" s="112"/>
      <c r="AA132" s="112">
        <f>IF(Y132&lt;25000,IF(UMYr2!J153&gt;(25000-Y132),25000-Y132,UMYr2!J153),0)</f>
        <v>0</v>
      </c>
      <c r="AB132" s="112">
        <f>IF(SUM(Y132:AA132)&lt;25000,IF(UMYr3!J153&gt;(25000-SUM(Y132:AA132)),25000-SUM(Y132:AA132),UMYr3!J153),0)</f>
        <v>0</v>
      </c>
      <c r="AC132" s="112">
        <f>IF(SUM(Y132:AB132)&lt;25000,IF(UMYr4!J153&gt;(25000-SUM(Y132:AB132)),25000-SUM(Y132:AB132),UMYr4!J153),0)</f>
        <v>0</v>
      </c>
      <c r="AD132" s="11">
        <f>IF(SUM(Y132:AC132)&lt;25000,IF(UMYr5!J153&gt;(25000-SUM(Y132:AC132)),25000-SUM(Y132:AC132),UMYr5!J153),0)</f>
        <v>0</v>
      </c>
    </row>
    <row r="133" spans="1:30">
      <c r="A133" s="679">
        <f>Sponsor!A137</f>
        <v>60250</v>
      </c>
      <c r="B133" s="116"/>
      <c r="C133" s="102" t="str">
        <f>Sponsor!C137</f>
        <v>Less than $25K</v>
      </c>
      <c r="D133" s="124">
        <f>Sponsor!D137</f>
        <v>0</v>
      </c>
      <c r="E133" s="903" t="s">
        <v>679</v>
      </c>
      <c r="F133" s="900"/>
      <c r="G133" s="900"/>
      <c r="H133" s="900"/>
      <c r="I133" s="889"/>
      <c r="J133" s="673">
        <f>Y125</f>
        <v>0</v>
      </c>
      <c r="K133" s="673">
        <f t="shared" si="41"/>
        <v>0</v>
      </c>
      <c r="L133" s="888" t="s">
        <v>679</v>
      </c>
      <c r="M133" s="889"/>
      <c r="N133" s="168">
        <f t="shared" si="42"/>
        <v>0</v>
      </c>
      <c r="O133" s="303">
        <v>60250</v>
      </c>
      <c r="R133">
        <v>12</v>
      </c>
      <c r="S133" s="246" t="str">
        <f>IF(Sponsor!C160="","",Sponsor!C160)</f>
        <v/>
      </c>
      <c r="T133" s="31">
        <f>J156-Y133</f>
        <v>0</v>
      </c>
      <c r="U133" s="31">
        <f>UMYr2!J156-AA133</f>
        <v>0</v>
      </c>
      <c r="V133" s="31">
        <f>UMYr3!J156-AB133</f>
        <v>0</v>
      </c>
      <c r="W133" s="31">
        <f>UMYr4!J156-AC133</f>
        <v>0</v>
      </c>
      <c r="X133" s="31">
        <f>UMYr5!J156-AD133</f>
        <v>0</v>
      </c>
      <c r="Y133" s="111">
        <f>IF(J156&gt;25000,25000,J156)</f>
        <v>0</v>
      </c>
      <c r="Z133" s="112"/>
      <c r="AA133" s="112">
        <f>IF(Y133&lt;25000,IF(UMYr2!J156&gt;(25000-Y133),25000-Y133,UMYr2!J156),0)</f>
        <v>0</v>
      </c>
      <c r="AB133" s="112">
        <f>IF(SUM(Y133:AA133)&lt;25000,IF(UMYr3!J156&gt;(25000-SUM(Y133:AA133)),25000-SUM(Y133:AA133),UMYr3!J156),0)</f>
        <v>0</v>
      </c>
      <c r="AC133" s="112">
        <f>IF(SUM(Y133:AB133)&lt;25000,IF(UMYr4!J156&gt;(25000-SUM(Y133:AB133)),25000-SUM(Y133:AB133),UMYr4!J156),0)</f>
        <v>0</v>
      </c>
      <c r="AD133" s="11">
        <f>IF(SUM(Y133:AC133)&lt;25000,IF(UMYr5!J156&gt;(25000-SUM(Y133:AC133)),25000-SUM(Y133:AC133),UMYr5!J156),0)</f>
        <v>0</v>
      </c>
    </row>
    <row r="134" spans="1:30">
      <c r="A134" s="679">
        <f>Sponsor!A138</f>
        <v>60270</v>
      </c>
      <c r="B134" s="117"/>
      <c r="C134" s="102" t="str">
        <f>Sponsor!C138</f>
        <v>Greater than $25K</v>
      </c>
      <c r="D134" s="125">
        <f>Sponsor!D138</f>
        <v>0</v>
      </c>
      <c r="E134" s="890"/>
      <c r="F134" s="901"/>
      <c r="G134" s="901"/>
      <c r="H134" s="901"/>
      <c r="I134" s="891"/>
      <c r="J134" s="673">
        <f>J132-J133</f>
        <v>0</v>
      </c>
      <c r="K134" s="673">
        <f t="shared" si="41"/>
        <v>0</v>
      </c>
      <c r="L134" s="890"/>
      <c r="M134" s="891"/>
      <c r="N134" s="169">
        <f t="shared" si="42"/>
        <v>0</v>
      </c>
      <c r="O134" s="303">
        <v>60270</v>
      </c>
      <c r="R134">
        <v>13</v>
      </c>
      <c r="S134" s="246" t="str">
        <f>IF(Sponsor!C163="","",Sponsor!C163)</f>
        <v/>
      </c>
      <c r="T134" s="31">
        <f>J159-Y134</f>
        <v>0</v>
      </c>
      <c r="U134" s="31">
        <f>UMYr2!J159-AA134</f>
        <v>0</v>
      </c>
      <c r="V134" s="31">
        <f>UMYr3!J159-AB134</f>
        <v>0</v>
      </c>
      <c r="W134" s="31">
        <f>UMYr4!J159-AC134</f>
        <v>0</v>
      </c>
      <c r="X134" s="31">
        <f>UMYr5!J159-AD134</f>
        <v>0</v>
      </c>
      <c r="Y134" s="111">
        <f>IF(J159&gt;25000,25000,J159)</f>
        <v>0</v>
      </c>
      <c r="Z134" s="112"/>
      <c r="AA134" s="112">
        <f>IF(Y134&lt;25000,IF(UMYr2!J159&gt;(25000-Y134),25000-Y134,UMYr2!J159),0)</f>
        <v>0</v>
      </c>
      <c r="AB134" s="112">
        <f>IF(SUM(Y134:AA134)&lt;25000,IF(UMYr3!J159&gt;(25000-SUM(Y134:AA134)),25000-SUM(Y134:AA134),UMYr3!J159),0)</f>
        <v>0</v>
      </c>
      <c r="AC134" s="112">
        <f>IF(SUM(Y134:AB134)&lt;25000,IF(UMYr4!J159&gt;(25000-SUM(Y134:AB134)),25000-SUM(Y134:AB134),UMYr4!J159),0)</f>
        <v>0</v>
      </c>
      <c r="AD134" s="11">
        <f>IF(SUM(Y134:AC134)&lt;25000,IF(UMYr5!J159&gt;(25000-SUM(Y134:AC134)),25000-SUM(Y134:AC134),UMYr5!J159),0)</f>
        <v>0</v>
      </c>
    </row>
    <row r="135" spans="1:30">
      <c r="A135" s="156"/>
      <c r="B135" s="115" t="str">
        <f>Sponsor!B139</f>
        <v>05</v>
      </c>
      <c r="C135" s="677" t="str">
        <f>IF(Sponsor!C139="","",Sponsor!C139)</f>
        <v/>
      </c>
      <c r="D135" s="638">
        <f>Sponsor!D139</f>
        <v>0</v>
      </c>
      <c r="E135" s="686"/>
      <c r="F135" s="686"/>
      <c r="G135" s="686"/>
      <c r="H135" s="686"/>
      <c r="I135" s="686"/>
      <c r="J135" s="638">
        <f>SUM(E135:I135)</f>
        <v>0</v>
      </c>
      <c r="K135" s="638">
        <f t="shared" si="41"/>
        <v>0</v>
      </c>
      <c r="L135" s="143"/>
      <c r="M135" s="143"/>
      <c r="N135" s="167">
        <f>K135+L135+M135</f>
        <v>0</v>
      </c>
      <c r="O135" s="304"/>
      <c r="R135">
        <v>14</v>
      </c>
      <c r="S135" s="246" t="str">
        <f>IF(Sponsor!C166="","",Sponsor!C166)</f>
        <v/>
      </c>
      <c r="T135" s="31">
        <f>J162-Y135</f>
        <v>0</v>
      </c>
      <c r="U135" s="31">
        <f>UMYr2!J162-AA135</f>
        <v>0</v>
      </c>
      <c r="V135" s="31">
        <f>UMYr3!J162-AB135</f>
        <v>0</v>
      </c>
      <c r="W135" s="31">
        <f>UMYr4!J162-AC135</f>
        <v>0</v>
      </c>
      <c r="X135" s="31">
        <f>UMYr5!J162-AD135</f>
        <v>0</v>
      </c>
      <c r="Y135" s="111">
        <f>IF(J162&gt;25000,25000,J162)</f>
        <v>0</v>
      </c>
      <c r="Z135" s="112"/>
      <c r="AA135" s="112">
        <f>IF(Y135&lt;25000,IF(UMYr2!J162&gt;(25000-Y135),25000-Y135,UMYr2!J162),0)</f>
        <v>0</v>
      </c>
      <c r="AB135" s="112">
        <f>IF(SUM(Y135:AA135)&lt;25000,IF(UMYr3!J162&gt;(25000-SUM(Y135:AA135)),25000-SUM(Y135:AA135),UMYr3!J162),0)</f>
        <v>0</v>
      </c>
      <c r="AC135" s="112">
        <f>IF(SUM(Y135:AB135)&lt;25000,IF(UMYr4!J162&gt;(25000-SUM(Y135:AB135)),25000-SUM(Y135:AB135),UMYr4!J162),0)</f>
        <v>0</v>
      </c>
      <c r="AD135" s="11">
        <f>IF(SUM(Y135:AC135)&lt;25000,IF(UMYr5!J162&gt;(25000-SUM(Y135:AC135)),25000-SUM(Y135:AC135),UMYr5!J162),0)</f>
        <v>0</v>
      </c>
    </row>
    <row r="136" spans="1:30">
      <c r="A136" s="679">
        <f>Sponsor!A140</f>
        <v>60250</v>
      </c>
      <c r="B136" s="116"/>
      <c r="C136" s="102" t="str">
        <f>Sponsor!C140</f>
        <v>Less than $25K</v>
      </c>
      <c r="D136" s="124">
        <f>Sponsor!D140</f>
        <v>0</v>
      </c>
      <c r="E136" s="903" t="s">
        <v>679</v>
      </c>
      <c r="F136" s="900"/>
      <c r="G136" s="900"/>
      <c r="H136" s="900"/>
      <c r="I136" s="889"/>
      <c r="J136" s="673">
        <f>Y126</f>
        <v>0</v>
      </c>
      <c r="K136" s="673">
        <f t="shared" si="41"/>
        <v>0</v>
      </c>
      <c r="L136" s="888" t="s">
        <v>679</v>
      </c>
      <c r="M136" s="889"/>
      <c r="N136" s="168">
        <f t="shared" si="42"/>
        <v>0</v>
      </c>
      <c r="O136" s="303">
        <v>60250</v>
      </c>
      <c r="R136">
        <v>15</v>
      </c>
      <c r="S136" s="246" t="str">
        <f>IF(Sponsor!C169="","",Sponsor!C169)</f>
        <v/>
      </c>
      <c r="T136" s="31">
        <f>J165-Y136</f>
        <v>0</v>
      </c>
      <c r="U136" s="31">
        <f>UMYr2!J165-AA136</f>
        <v>0</v>
      </c>
      <c r="V136" s="31">
        <f>UMYr3!J165-AB136</f>
        <v>0</v>
      </c>
      <c r="W136" s="31">
        <f>UMYr4!J165-AC136</f>
        <v>0</v>
      </c>
      <c r="X136" s="31">
        <f>UMYr5!J165-AD136</f>
        <v>0</v>
      </c>
      <c r="Y136" s="111">
        <f>IF(J165&gt;25000,25000,J165)</f>
        <v>0</v>
      </c>
      <c r="Z136" s="112"/>
      <c r="AA136" s="112">
        <f>IF(Y136&lt;25000,IF(UMYr2!J165&gt;(25000-Y136),25000-Y136,UMYr2!J165),0)</f>
        <v>0</v>
      </c>
      <c r="AB136" s="112">
        <f>IF(SUM(Y136:AA136)&lt;25000,IF(UMYr3!J165&gt;(25000-SUM(Y136:AA136)),25000-SUM(Y136:AA136),UMYr3!J165),0)</f>
        <v>0</v>
      </c>
      <c r="AC136" s="112">
        <f>IF(SUM(Y136:AB136)&lt;25000,IF(UMYr4!J165&gt;(25000-SUM(Y136:AB136)),25000-SUM(Y136:AB136),UMYr4!J165),0)</f>
        <v>0</v>
      </c>
      <c r="AD136" s="11">
        <f>IF(SUM(Y136:AC136)&lt;25000,IF(UMYr5!J165&gt;(25000-SUM(Y136:AC136)),25000-SUM(Y136:AC136),UMYr5!J165),0)</f>
        <v>0</v>
      </c>
    </row>
    <row r="137" spans="1:30">
      <c r="A137" s="679">
        <f>Sponsor!A141</f>
        <v>60270</v>
      </c>
      <c r="B137" s="117"/>
      <c r="C137" s="102" t="str">
        <f>Sponsor!C141</f>
        <v>Greater than $25K</v>
      </c>
      <c r="D137" s="125">
        <f>Sponsor!D141</f>
        <v>0</v>
      </c>
      <c r="E137" s="890"/>
      <c r="F137" s="901"/>
      <c r="G137" s="901"/>
      <c r="H137" s="901"/>
      <c r="I137" s="891"/>
      <c r="J137" s="673">
        <f>J135-J136</f>
        <v>0</v>
      </c>
      <c r="K137" s="673">
        <f t="shared" si="41"/>
        <v>0</v>
      </c>
      <c r="L137" s="890"/>
      <c r="M137" s="891"/>
      <c r="N137" s="169">
        <f t="shared" si="42"/>
        <v>0</v>
      </c>
      <c r="O137" s="303">
        <v>60270</v>
      </c>
      <c r="R137">
        <v>16</v>
      </c>
      <c r="S137" s="246" t="str">
        <f>IF(Sponsor!C172="","",Sponsor!C172)</f>
        <v/>
      </c>
      <c r="T137" s="31">
        <f>J168-Y137</f>
        <v>0</v>
      </c>
      <c r="U137" s="31">
        <f>UMYr2!J168-AA137</f>
        <v>0</v>
      </c>
      <c r="V137" s="31">
        <f>UMYr3!J168-AB137</f>
        <v>0</v>
      </c>
      <c r="W137" s="31">
        <f>UMYr4!J168-AC137</f>
        <v>0</v>
      </c>
      <c r="X137" s="31">
        <f>UMYr5!J168-AD137</f>
        <v>0</v>
      </c>
      <c r="Y137" s="111">
        <f>IF(J168&gt;25000,25000,J168)</f>
        <v>0</v>
      </c>
      <c r="Z137" s="112"/>
      <c r="AA137" s="112">
        <f>IF(Y137&lt;25000,IF(UMYr2!J168&gt;(25000-Y137),25000-Y137,UMYr2!J168),0)</f>
        <v>0</v>
      </c>
      <c r="AB137" s="112">
        <f>IF(SUM(Y137:AA137)&lt;25000,IF(UMYr3!J168&gt;(25000-SUM(Y137:AA137)),25000-SUM(Y137:AA137),UMYr3!J168),0)</f>
        <v>0</v>
      </c>
      <c r="AC137" s="112">
        <f>IF(SUM(Y137:AB137)&lt;25000,IF(UMYr4!J168&gt;(25000-SUM(Y137:AB137)),25000-SUM(Y137:AB137),UMYr4!J168),0)</f>
        <v>0</v>
      </c>
      <c r="AD137" s="11">
        <f>IF(SUM(Y137:AC137)&lt;25000,IF(UMYr5!J168&gt;(25000-SUM(Y137:AC137)),25000-SUM(Y137:AC137),UMYr5!J168),0)</f>
        <v>0</v>
      </c>
    </row>
    <row r="138" spans="1:30">
      <c r="A138" s="156"/>
      <c r="B138" s="115" t="str">
        <f>Sponsor!B142</f>
        <v>06</v>
      </c>
      <c r="C138" s="677" t="str">
        <f>IF(Sponsor!C142="","",Sponsor!C142)</f>
        <v/>
      </c>
      <c r="D138" s="638">
        <f>Sponsor!D142</f>
        <v>0</v>
      </c>
      <c r="E138" s="686"/>
      <c r="F138" s="686"/>
      <c r="G138" s="686"/>
      <c r="H138" s="686"/>
      <c r="I138" s="686"/>
      <c r="J138" s="638">
        <f>SUM(E138:I138)</f>
        <v>0</v>
      </c>
      <c r="K138" s="638">
        <f t="shared" si="41"/>
        <v>0</v>
      </c>
      <c r="L138" s="143"/>
      <c r="M138" s="143"/>
      <c r="N138" s="167">
        <f>K138+L138+M138</f>
        <v>0</v>
      </c>
      <c r="O138" s="304"/>
      <c r="R138">
        <v>17</v>
      </c>
      <c r="S138" s="246" t="str">
        <f>IF(Sponsor!C175="","",Sponsor!C175)</f>
        <v/>
      </c>
      <c r="T138" s="31">
        <f>J171-Y138</f>
        <v>0</v>
      </c>
      <c r="U138" s="31">
        <f>UMYr2!J171-AA138</f>
        <v>0</v>
      </c>
      <c r="V138" s="31">
        <f>UMYr3!J171-AB138</f>
        <v>0</v>
      </c>
      <c r="W138" s="31">
        <f>UMYr4!J171-AC138</f>
        <v>0</v>
      </c>
      <c r="X138" s="31">
        <f>UMYr5!J171-AD138</f>
        <v>0</v>
      </c>
      <c r="Y138" s="111">
        <f>IF(J171&gt;25000,25000,J171)</f>
        <v>0</v>
      </c>
      <c r="Z138" s="112"/>
      <c r="AA138" s="112">
        <f>IF(Y138&lt;25000,IF(UMYr2!J171&gt;(25000-Y138),25000-Y138,UMYr2!J171),0)</f>
        <v>0</v>
      </c>
      <c r="AB138" s="112">
        <f>IF(SUM(Y138:AA138)&lt;25000,IF(UMYr3!J171&gt;(25000-SUM(Y138:AA138)),25000-SUM(Y138:AA138),UMYr3!J171),0)</f>
        <v>0</v>
      </c>
      <c r="AC138" s="112">
        <f>IF(SUM(Y138:AB138)&lt;25000,IF(UMYr4!J171&gt;(25000-SUM(Y138:AB138)),25000-SUM(Y138:AB138),UMYr4!J171),0)</f>
        <v>0</v>
      </c>
      <c r="AD138" s="11">
        <f>IF(SUM(Y138:AC138)&lt;25000,IF(UMYr5!J171&gt;(25000-SUM(Y138:AC138)),25000-SUM(Y138:AC138),UMYr5!J171),0)</f>
        <v>0</v>
      </c>
    </row>
    <row r="139" spans="1:30">
      <c r="A139" s="679">
        <f>Sponsor!A143</f>
        <v>60250</v>
      </c>
      <c r="B139" s="116"/>
      <c r="C139" s="102" t="str">
        <f>Sponsor!C143</f>
        <v>Less than $25K</v>
      </c>
      <c r="D139" s="124">
        <f>Sponsor!D143</f>
        <v>0</v>
      </c>
      <c r="E139" s="903" t="s">
        <v>679</v>
      </c>
      <c r="F139" s="900"/>
      <c r="G139" s="900"/>
      <c r="H139" s="900"/>
      <c r="I139" s="889"/>
      <c r="J139" s="673">
        <f>Y127</f>
        <v>0</v>
      </c>
      <c r="K139" s="673">
        <f t="shared" si="41"/>
        <v>0</v>
      </c>
      <c r="L139" s="888" t="s">
        <v>679</v>
      </c>
      <c r="M139" s="889"/>
      <c r="N139" s="168">
        <f t="shared" si="42"/>
        <v>0</v>
      </c>
      <c r="O139" s="303">
        <v>60250</v>
      </c>
      <c r="R139">
        <v>18</v>
      </c>
      <c r="S139" s="246" t="str">
        <f>IF(Sponsor!C178="","",Sponsor!C178)</f>
        <v/>
      </c>
      <c r="T139" s="31">
        <f>J174-Y139</f>
        <v>0</v>
      </c>
      <c r="U139" s="31">
        <f>UMYr2!J174-AA139</f>
        <v>0</v>
      </c>
      <c r="V139" s="31">
        <f>UMYr3!J174-AB139</f>
        <v>0</v>
      </c>
      <c r="W139" s="31">
        <f>UMYr4!EK174-AC139</f>
        <v>0</v>
      </c>
      <c r="X139" s="31">
        <f>UMYr5!J174-AD139</f>
        <v>0</v>
      </c>
      <c r="Y139" s="111">
        <f>IF(J174&gt;25000,25000,J174)</f>
        <v>0</v>
      </c>
      <c r="Z139" s="112"/>
      <c r="AA139" s="112">
        <f>IF(Y139&lt;25000,IF(UMYr2!J174&gt;(25000-Y139),25000-Y139,UMYr2!J174),0)</f>
        <v>0</v>
      </c>
      <c r="AB139" s="112">
        <f>IF(SUM(Y139:AA139)&lt;25000,IF(UMYr3!J174&gt;(25000-SUM(Y139:AA139)),25000-SUM(Y139:AA139),UMYr3!J174),0)</f>
        <v>0</v>
      </c>
      <c r="AC139" s="112">
        <f>IF(SUM(Y139:AB139)&lt;25000,IF(UMYr4!J174&gt;(25000-SUM(Y139:AB139)),25000-SUM(Y139:AB139),UMYr4!J174),0)</f>
        <v>0</v>
      </c>
      <c r="AD139" s="11">
        <f>IF(SUM(Y139:AC139)&lt;25000,IF(UMYr5!J174&gt;(25000-SUM(Y139:AC139)),25000-SUM(Y139:AC139),UMYr5!J174),0)</f>
        <v>0</v>
      </c>
    </row>
    <row r="140" spans="1:30">
      <c r="A140" s="679">
        <f>Sponsor!A144</f>
        <v>60270</v>
      </c>
      <c r="B140" s="117"/>
      <c r="C140" s="102" t="str">
        <f>Sponsor!C144</f>
        <v>Greater than $25K</v>
      </c>
      <c r="D140" s="125">
        <f>Sponsor!D144</f>
        <v>0</v>
      </c>
      <c r="E140" s="890"/>
      <c r="F140" s="901"/>
      <c r="G140" s="901"/>
      <c r="H140" s="901"/>
      <c r="I140" s="891"/>
      <c r="J140" s="673">
        <f>J138-J139</f>
        <v>0</v>
      </c>
      <c r="K140" s="673">
        <f t="shared" si="41"/>
        <v>0</v>
      </c>
      <c r="L140" s="890"/>
      <c r="M140" s="891"/>
      <c r="N140" s="169">
        <f t="shared" si="42"/>
        <v>0</v>
      </c>
      <c r="O140" s="303">
        <v>60270</v>
      </c>
      <c r="R140">
        <v>19</v>
      </c>
      <c r="S140" s="246" t="str">
        <f>IF(Sponsor!C181="","",Sponsor!C181)</f>
        <v/>
      </c>
      <c r="T140" s="31">
        <f>J177-Y140</f>
        <v>0</v>
      </c>
      <c r="U140" s="31">
        <f>UMYr2!J177-AA140</f>
        <v>0</v>
      </c>
      <c r="V140" s="31">
        <f>UMYr3!J177-AB140</f>
        <v>0</v>
      </c>
      <c r="W140" s="31">
        <f>UMYr4!J177-AC140</f>
        <v>0</v>
      </c>
      <c r="X140" s="31">
        <f>UMYr5!J177-AD140</f>
        <v>0</v>
      </c>
      <c r="Y140" s="111">
        <f>IF(J177&gt;25000,25000,J177)</f>
        <v>0</v>
      </c>
      <c r="Z140" s="112"/>
      <c r="AA140" s="112">
        <f>IF(Y140&lt;25000,IF(UMYr2!J177&gt;(25000-Y140),25000-Y140,UMYr2!J177),0)</f>
        <v>0</v>
      </c>
      <c r="AB140" s="112">
        <f>IF(SUM(Y140:AA140)&lt;25000,IF(UMYr3!J177&gt;(25000-SUM(Y140:AA140)),25000-SUM(Y140:AA140),UMYr3!J177),0)</f>
        <v>0</v>
      </c>
      <c r="AC140" s="112">
        <f>IF(SUM(Y140:AB140)&lt;25000,IF(UMYr4!J177&gt;(25000-SUM(Y140:AB140)),25000-SUM(Y140:AB140),UMYr4!J177),0)</f>
        <v>0</v>
      </c>
      <c r="AD140" s="11">
        <f>IF(SUM(Y140:AC140)&lt;25000,IF(UMYr5!J177&gt;(25000-SUM(Y140:AC140)),25000-SUM(Y140:AC140),UMYr5!J177),0)</f>
        <v>0</v>
      </c>
    </row>
    <row r="141" spans="1:30">
      <c r="A141" s="156"/>
      <c r="B141" s="115" t="str">
        <f>Sponsor!B145</f>
        <v>07</v>
      </c>
      <c r="C141" s="677" t="str">
        <f>IF(Sponsor!C145="","",Sponsor!C145)</f>
        <v/>
      </c>
      <c r="D141" s="638">
        <f>Sponsor!D145</f>
        <v>0</v>
      </c>
      <c r="E141" s="686"/>
      <c r="F141" s="686"/>
      <c r="G141" s="686"/>
      <c r="H141" s="686"/>
      <c r="I141" s="686"/>
      <c r="J141" s="638">
        <f>SUM(E141:I141)</f>
        <v>0</v>
      </c>
      <c r="K141" s="638">
        <f t="shared" si="41"/>
        <v>0</v>
      </c>
      <c r="L141" s="143"/>
      <c r="M141" s="143"/>
      <c r="N141" s="167">
        <f>K141+L141+M141</f>
        <v>0</v>
      </c>
      <c r="O141" s="304"/>
      <c r="R141">
        <v>20</v>
      </c>
      <c r="S141" s="246" t="str">
        <f>IF(Sponsor!C184="","",Sponsor!C184)</f>
        <v/>
      </c>
      <c r="T141" s="31">
        <f>J180-Y141</f>
        <v>0</v>
      </c>
      <c r="U141" s="31">
        <f>UMYr2!J180-AA141</f>
        <v>0</v>
      </c>
      <c r="V141" s="31">
        <f>UMYr3!J180-AB141</f>
        <v>0</v>
      </c>
      <c r="W141" s="31">
        <f>UMYr4!EK180-AC141</f>
        <v>0</v>
      </c>
      <c r="X141" s="31">
        <f>UMYr5!J180-AD141</f>
        <v>0</v>
      </c>
      <c r="Y141" s="111">
        <f>IF(J180&gt;25000,25000,J180)</f>
        <v>0</v>
      </c>
      <c r="Z141" s="112"/>
      <c r="AA141" s="112">
        <f>IF(Y141&lt;25000,IF(UMYr2!J180&gt;(25000-Y141),25000-Y141,UMYr2!J180),0)</f>
        <v>0</v>
      </c>
      <c r="AB141" s="112">
        <f>IF(SUM(Y141:AA141)&lt;25000,IF(UMYr3!J180&gt;(25000-SUM(Y141:AA141)),25000-SUM(Y141:AA141),UMYr3!J180),0)</f>
        <v>0</v>
      </c>
      <c r="AC141" s="112">
        <f>IF(SUM(Y141:AB141)&lt;25000,IF(UMYr4!J180&gt;(25000-SUM(Y141:AB141)),25000-SUM(Y141:AB141),UMYr4!J180),0)</f>
        <v>0</v>
      </c>
      <c r="AD141" s="11">
        <f>IF(SUM(Y141:AC141)&lt;25000,IF(UMYr5!J180&gt;(25000-SUM(Y141:AC141)),25000-SUM(Y141:AC141),UMYr5!J180),0)</f>
        <v>0</v>
      </c>
    </row>
    <row r="142" spans="1:30">
      <c r="A142" s="679">
        <f>Sponsor!A146</f>
        <v>60250</v>
      </c>
      <c r="B142" s="116"/>
      <c r="C142" s="102" t="str">
        <f>Sponsor!C146</f>
        <v>Less than $25K</v>
      </c>
      <c r="D142" s="124">
        <f>Sponsor!D146</f>
        <v>0</v>
      </c>
      <c r="E142" s="903" t="s">
        <v>679</v>
      </c>
      <c r="F142" s="900"/>
      <c r="G142" s="900"/>
      <c r="H142" s="900"/>
      <c r="I142" s="889"/>
      <c r="J142" s="673">
        <f>Y128</f>
        <v>0</v>
      </c>
      <c r="K142" s="673">
        <f t="shared" si="41"/>
        <v>0</v>
      </c>
      <c r="L142" s="888" t="s">
        <v>679</v>
      </c>
      <c r="M142" s="889"/>
      <c r="N142" s="168">
        <f t="shared" si="42"/>
        <v>0</v>
      </c>
      <c r="O142" s="303">
        <v>60250</v>
      </c>
      <c r="S142" s="252" t="s">
        <v>599</v>
      </c>
      <c r="T142" s="93">
        <f t="shared" ref="T142:AD142" si="43">SUM(T122:T141)</f>
        <v>0</v>
      </c>
      <c r="U142" s="253">
        <f t="shared" si="43"/>
        <v>0</v>
      </c>
      <c r="V142" s="253">
        <f t="shared" si="43"/>
        <v>0</v>
      </c>
      <c r="W142" s="253">
        <f t="shared" si="43"/>
        <v>0</v>
      </c>
      <c r="X142" s="253">
        <f t="shared" si="43"/>
        <v>0</v>
      </c>
      <c r="Y142" s="93">
        <f t="shared" si="43"/>
        <v>0</v>
      </c>
      <c r="Z142" s="253"/>
      <c r="AA142" s="253">
        <f t="shared" si="43"/>
        <v>0</v>
      </c>
      <c r="AB142" s="253">
        <f t="shared" si="43"/>
        <v>0</v>
      </c>
      <c r="AC142" s="253">
        <f t="shared" si="43"/>
        <v>0</v>
      </c>
      <c r="AD142" s="254">
        <f t="shared" si="43"/>
        <v>0</v>
      </c>
    </row>
    <row r="143" spans="1:30">
      <c r="A143" s="679">
        <f>Sponsor!A147</f>
        <v>60270</v>
      </c>
      <c r="B143" s="117"/>
      <c r="C143" s="102" t="str">
        <f>Sponsor!C147</f>
        <v>Greater than $25K</v>
      </c>
      <c r="D143" s="125">
        <f>Sponsor!D147</f>
        <v>0</v>
      </c>
      <c r="E143" s="890"/>
      <c r="F143" s="901"/>
      <c r="G143" s="901"/>
      <c r="H143" s="901"/>
      <c r="I143" s="891"/>
      <c r="J143" s="673">
        <f>J141-J142</f>
        <v>0</v>
      </c>
      <c r="K143" s="673">
        <f t="shared" si="41"/>
        <v>0</v>
      </c>
      <c r="L143" s="890"/>
      <c r="M143" s="891"/>
      <c r="N143" s="169">
        <f t="shared" si="42"/>
        <v>0</v>
      </c>
      <c r="O143" s="303">
        <v>60270</v>
      </c>
    </row>
    <row r="144" spans="1:30">
      <c r="A144" s="156"/>
      <c r="B144" s="115" t="str">
        <f>Sponsor!B148</f>
        <v>08</v>
      </c>
      <c r="C144" s="677" t="str">
        <f>IF(Sponsor!C148="","",Sponsor!C148)</f>
        <v/>
      </c>
      <c r="D144" s="638">
        <f>Sponsor!D148</f>
        <v>0</v>
      </c>
      <c r="E144" s="686"/>
      <c r="F144" s="686"/>
      <c r="G144" s="686"/>
      <c r="H144" s="686"/>
      <c r="I144" s="686"/>
      <c r="J144" s="638">
        <f>SUM(E144:I144)</f>
        <v>0</v>
      </c>
      <c r="K144" s="638">
        <f t="shared" si="41"/>
        <v>0</v>
      </c>
      <c r="L144" s="143"/>
      <c r="M144" s="143"/>
      <c r="N144" s="167">
        <f>K144+L144+M144</f>
        <v>0</v>
      </c>
      <c r="O144" s="304"/>
      <c r="S144" s="200"/>
      <c r="T144" s="305"/>
      <c r="U144" s="223"/>
      <c r="V144" s="223"/>
      <c r="W144" s="223"/>
      <c r="X144" s="223"/>
      <c r="Y144" s="223"/>
      <c r="Z144" s="223"/>
      <c r="AA144" s="223"/>
      <c r="AB144" s="223"/>
    </row>
    <row r="145" spans="1:30">
      <c r="A145" s="679">
        <f>Sponsor!A149</f>
        <v>60250</v>
      </c>
      <c r="B145" s="116"/>
      <c r="C145" s="102" t="str">
        <f>Sponsor!C149</f>
        <v>Less than $25K</v>
      </c>
      <c r="D145" s="126">
        <f>Sponsor!D149</f>
        <v>0</v>
      </c>
      <c r="E145" s="903" t="s">
        <v>679</v>
      </c>
      <c r="F145" s="900"/>
      <c r="G145" s="900"/>
      <c r="H145" s="900"/>
      <c r="I145" s="889"/>
      <c r="J145" s="673">
        <f>Y129</f>
        <v>0</v>
      </c>
      <c r="K145" s="673">
        <f t="shared" si="41"/>
        <v>0</v>
      </c>
      <c r="L145" s="888" t="s">
        <v>679</v>
      </c>
      <c r="M145" s="889"/>
      <c r="N145" s="168">
        <f t="shared" si="42"/>
        <v>0</v>
      </c>
      <c r="O145" s="303">
        <v>60250</v>
      </c>
      <c r="S145" s="306"/>
      <c r="T145" s="305"/>
      <c r="U145" s="223"/>
      <c r="V145" s="223"/>
      <c r="W145" s="223"/>
      <c r="X145" s="223"/>
      <c r="Y145" s="223"/>
      <c r="Z145" s="223"/>
      <c r="AA145" s="223"/>
      <c r="AB145" s="223"/>
      <c r="AC145" s="223"/>
      <c r="AD145" s="223"/>
    </row>
    <row r="146" spans="1:30">
      <c r="A146" s="679">
        <f>Sponsor!A150</f>
        <v>60270</v>
      </c>
      <c r="B146" s="117"/>
      <c r="C146" s="102" t="str">
        <f>Sponsor!C150</f>
        <v>Greater than $25K</v>
      </c>
      <c r="D146" s="127">
        <f>Sponsor!D150</f>
        <v>0</v>
      </c>
      <c r="E146" s="890"/>
      <c r="F146" s="901"/>
      <c r="G146" s="901"/>
      <c r="H146" s="901"/>
      <c r="I146" s="891"/>
      <c r="J146" s="673">
        <f>J144-J145</f>
        <v>0</v>
      </c>
      <c r="K146" s="673">
        <f t="shared" si="41"/>
        <v>0</v>
      </c>
      <c r="L146" s="890"/>
      <c r="M146" s="891"/>
      <c r="N146" s="169">
        <f t="shared" si="42"/>
        <v>0</v>
      </c>
      <c r="O146" s="303">
        <v>60270</v>
      </c>
      <c r="S146" s="135"/>
    </row>
    <row r="147" spans="1:30">
      <c r="A147" s="156"/>
      <c r="B147" s="115" t="str">
        <f>Sponsor!B151</f>
        <v>09</v>
      </c>
      <c r="C147" s="677" t="str">
        <f>IF(Sponsor!C151="","",Sponsor!C151)</f>
        <v/>
      </c>
      <c r="D147" s="638">
        <f>Sponsor!D151</f>
        <v>0</v>
      </c>
      <c r="E147" s="686"/>
      <c r="F147" s="686"/>
      <c r="G147" s="686"/>
      <c r="H147" s="686"/>
      <c r="I147" s="686"/>
      <c r="J147" s="638">
        <f>SUM(E147:I147)</f>
        <v>0</v>
      </c>
      <c r="K147" s="638">
        <f t="shared" si="41"/>
        <v>0</v>
      </c>
      <c r="L147" s="143"/>
      <c r="M147" s="143"/>
      <c r="N147" s="167">
        <f>K147+L147+M147</f>
        <v>0</v>
      </c>
      <c r="O147" s="304"/>
      <c r="S147" s="135"/>
    </row>
    <row r="148" spans="1:30">
      <c r="A148" s="679">
        <f>Sponsor!A152</f>
        <v>60250</v>
      </c>
      <c r="B148" s="116"/>
      <c r="C148" s="102" t="str">
        <f>Sponsor!C152</f>
        <v>Less than $25K</v>
      </c>
      <c r="D148" s="126">
        <f>Sponsor!D152</f>
        <v>0</v>
      </c>
      <c r="E148" s="903" t="s">
        <v>679</v>
      </c>
      <c r="F148" s="900"/>
      <c r="G148" s="900"/>
      <c r="H148" s="900"/>
      <c r="I148" s="889"/>
      <c r="J148" s="673">
        <f>Y130</f>
        <v>0</v>
      </c>
      <c r="K148" s="673">
        <f t="shared" si="41"/>
        <v>0</v>
      </c>
      <c r="L148" s="888" t="s">
        <v>679</v>
      </c>
      <c r="M148" s="889"/>
      <c r="N148" s="168">
        <f t="shared" si="42"/>
        <v>0</v>
      </c>
      <c r="O148" s="303">
        <v>60250</v>
      </c>
      <c r="S148" s="135"/>
    </row>
    <row r="149" spans="1:30">
      <c r="A149" s="679">
        <f>Sponsor!A153</f>
        <v>60270</v>
      </c>
      <c r="B149" s="117"/>
      <c r="C149" s="102" t="str">
        <f>Sponsor!C153</f>
        <v>Greater than $25K</v>
      </c>
      <c r="D149" s="127">
        <f>Sponsor!D153</f>
        <v>0</v>
      </c>
      <c r="E149" s="890"/>
      <c r="F149" s="901"/>
      <c r="G149" s="901"/>
      <c r="H149" s="901"/>
      <c r="I149" s="891"/>
      <c r="J149" s="673">
        <f>J147-J148</f>
        <v>0</v>
      </c>
      <c r="K149" s="673">
        <f t="shared" si="41"/>
        <v>0</v>
      </c>
      <c r="L149" s="890"/>
      <c r="M149" s="891"/>
      <c r="N149" s="169">
        <f t="shared" si="42"/>
        <v>0</v>
      </c>
      <c r="O149" s="303">
        <v>60270</v>
      </c>
      <c r="S149" s="135"/>
    </row>
    <row r="150" spans="1:30">
      <c r="A150" s="156"/>
      <c r="B150" s="115">
        <f>Sponsor!B154</f>
        <v>10</v>
      </c>
      <c r="C150" s="677" t="str">
        <f>IF(Sponsor!C154="","",Sponsor!C154)</f>
        <v/>
      </c>
      <c r="D150" s="638">
        <f>Sponsor!D154</f>
        <v>0</v>
      </c>
      <c r="E150" s="686"/>
      <c r="F150" s="686"/>
      <c r="G150" s="686"/>
      <c r="H150" s="686"/>
      <c r="I150" s="686"/>
      <c r="J150" s="638">
        <f>SUM(E150:I150)</f>
        <v>0</v>
      </c>
      <c r="K150" s="638">
        <f t="shared" si="41"/>
        <v>0</v>
      </c>
      <c r="L150" s="143"/>
      <c r="M150" s="143"/>
      <c r="N150" s="167">
        <f>K150+L150+M150</f>
        <v>0</v>
      </c>
      <c r="O150" s="304"/>
      <c r="S150" s="135"/>
    </row>
    <row r="151" spans="1:30">
      <c r="A151" s="679">
        <f>Sponsor!A155</f>
        <v>60250</v>
      </c>
      <c r="B151" s="116"/>
      <c r="C151" s="102" t="str">
        <f>Sponsor!C155</f>
        <v>Less than $25K</v>
      </c>
      <c r="D151" s="126">
        <f>Sponsor!D155</f>
        <v>0</v>
      </c>
      <c r="E151" s="903" t="s">
        <v>679</v>
      </c>
      <c r="F151" s="900"/>
      <c r="G151" s="900"/>
      <c r="H151" s="900"/>
      <c r="I151" s="889"/>
      <c r="J151" s="673">
        <f>Y131</f>
        <v>0</v>
      </c>
      <c r="K151" s="673">
        <f t="shared" si="41"/>
        <v>0</v>
      </c>
      <c r="L151" s="888" t="s">
        <v>679</v>
      </c>
      <c r="M151" s="889"/>
      <c r="N151" s="168">
        <f t="shared" si="42"/>
        <v>0</v>
      </c>
      <c r="O151" s="303">
        <v>60250</v>
      </c>
      <c r="S151" s="135"/>
    </row>
    <row r="152" spans="1:30">
      <c r="A152" s="679">
        <f>Sponsor!A156</f>
        <v>60270</v>
      </c>
      <c r="B152" s="116"/>
      <c r="C152" s="102" t="str">
        <f>Sponsor!C156</f>
        <v>Greater than $25K</v>
      </c>
      <c r="D152" s="127">
        <f>Sponsor!D156</f>
        <v>0</v>
      </c>
      <c r="E152" s="890"/>
      <c r="F152" s="901"/>
      <c r="G152" s="901"/>
      <c r="H152" s="901"/>
      <c r="I152" s="891"/>
      <c r="J152" s="673">
        <f>J150-J151</f>
        <v>0</v>
      </c>
      <c r="K152" s="673">
        <f t="shared" si="41"/>
        <v>0</v>
      </c>
      <c r="L152" s="890"/>
      <c r="M152" s="891"/>
      <c r="N152" s="169">
        <f t="shared" si="42"/>
        <v>0</v>
      </c>
      <c r="O152" s="303">
        <v>60270</v>
      </c>
      <c r="S152" s="135"/>
    </row>
    <row r="153" spans="1:30">
      <c r="A153" s="156"/>
      <c r="B153" s="115">
        <f>Sponsor!B157</f>
        <v>11</v>
      </c>
      <c r="C153" s="677" t="str">
        <f>IF(Sponsor!C157="","",Sponsor!C157)</f>
        <v/>
      </c>
      <c r="D153" s="638">
        <f>Sponsor!D157</f>
        <v>0</v>
      </c>
      <c r="E153" s="686"/>
      <c r="F153" s="686"/>
      <c r="G153" s="686"/>
      <c r="H153" s="686"/>
      <c r="I153" s="686"/>
      <c r="J153" s="638">
        <f>SUM(E153:I153)</f>
        <v>0</v>
      </c>
      <c r="K153" s="638">
        <f t="shared" si="41"/>
        <v>0</v>
      </c>
      <c r="L153" s="143"/>
      <c r="M153" s="143"/>
      <c r="N153" s="167">
        <f>K153+L153+M153</f>
        <v>0</v>
      </c>
      <c r="O153" s="304"/>
      <c r="S153" s="135"/>
    </row>
    <row r="154" spans="1:30">
      <c r="A154" s="679">
        <f>Sponsor!A158</f>
        <v>60250</v>
      </c>
      <c r="B154" s="116"/>
      <c r="C154" s="102" t="str">
        <f>Sponsor!C158</f>
        <v>Less than $25K</v>
      </c>
      <c r="D154" s="126">
        <f>Sponsor!D158</f>
        <v>0</v>
      </c>
      <c r="E154" s="892" t="s">
        <v>679</v>
      </c>
      <c r="F154" s="900"/>
      <c r="G154" s="900"/>
      <c r="H154" s="900"/>
      <c r="I154" s="889"/>
      <c r="J154" s="673">
        <f>Y132</f>
        <v>0</v>
      </c>
      <c r="K154" s="673">
        <f t="shared" si="41"/>
        <v>0</v>
      </c>
      <c r="L154" s="888" t="s">
        <v>679</v>
      </c>
      <c r="M154" s="889"/>
      <c r="N154" s="168">
        <f>D154</f>
        <v>0</v>
      </c>
      <c r="O154" s="303">
        <v>60250</v>
      </c>
      <c r="S154" s="135"/>
    </row>
    <row r="155" spans="1:30">
      <c r="A155" s="679">
        <f>Sponsor!A159</f>
        <v>60270</v>
      </c>
      <c r="B155" s="116"/>
      <c r="C155" s="102" t="str">
        <f>Sponsor!C159</f>
        <v>Greater than $25K</v>
      </c>
      <c r="D155" s="127">
        <f>Sponsor!D159</f>
        <v>0</v>
      </c>
      <c r="E155" s="890"/>
      <c r="F155" s="901"/>
      <c r="G155" s="901"/>
      <c r="H155" s="901"/>
      <c r="I155" s="891"/>
      <c r="J155" s="673">
        <f>J153-J154</f>
        <v>0</v>
      </c>
      <c r="K155" s="673">
        <f t="shared" si="41"/>
        <v>0</v>
      </c>
      <c r="L155" s="890"/>
      <c r="M155" s="891"/>
      <c r="N155" s="169">
        <f>D155</f>
        <v>0</v>
      </c>
      <c r="O155" s="303">
        <v>60270</v>
      </c>
      <c r="S155" s="135"/>
    </row>
    <row r="156" spans="1:30">
      <c r="A156" s="156"/>
      <c r="B156" s="115">
        <f>Sponsor!B160</f>
        <v>12</v>
      </c>
      <c r="C156" s="677" t="str">
        <f>IF(Sponsor!C160="","",Sponsor!C160)</f>
        <v/>
      </c>
      <c r="D156" s="638">
        <f>Sponsor!D160</f>
        <v>0</v>
      </c>
      <c r="E156" s="686"/>
      <c r="F156" s="686"/>
      <c r="G156" s="686"/>
      <c r="H156" s="686"/>
      <c r="I156" s="686"/>
      <c r="J156" s="638">
        <f>SUM(E156:I156)</f>
        <v>0</v>
      </c>
      <c r="K156" s="638">
        <f t="shared" si="41"/>
        <v>0</v>
      </c>
      <c r="L156" s="143"/>
      <c r="M156" s="143"/>
      <c r="N156" s="167">
        <f>K156+L156+M156</f>
        <v>0</v>
      </c>
      <c r="O156" s="304"/>
      <c r="S156" s="135"/>
    </row>
    <row r="157" spans="1:30">
      <c r="A157" s="679">
        <f>Sponsor!A161</f>
        <v>60250</v>
      </c>
      <c r="B157" s="116"/>
      <c r="C157" s="102" t="str">
        <f>Sponsor!C161</f>
        <v>Less than $25K</v>
      </c>
      <c r="D157" s="126">
        <f>Sponsor!D161</f>
        <v>0</v>
      </c>
      <c r="E157" s="892" t="s">
        <v>679</v>
      </c>
      <c r="F157" s="893"/>
      <c r="G157" s="893"/>
      <c r="H157" s="893"/>
      <c r="I157" s="894"/>
      <c r="J157" s="673">
        <f>Y133</f>
        <v>0</v>
      </c>
      <c r="K157" s="673">
        <f t="shared" si="41"/>
        <v>0</v>
      </c>
      <c r="L157" s="888" t="s">
        <v>679</v>
      </c>
      <c r="M157" s="889"/>
      <c r="N157" s="168">
        <f>D157</f>
        <v>0</v>
      </c>
      <c r="O157" s="303">
        <v>60250</v>
      </c>
      <c r="S157" s="135"/>
    </row>
    <row r="158" spans="1:30">
      <c r="A158" s="679">
        <f>Sponsor!A162</f>
        <v>60270</v>
      </c>
      <c r="B158" s="116"/>
      <c r="C158" s="102" t="str">
        <f>Sponsor!C162</f>
        <v>Greater than $25K</v>
      </c>
      <c r="D158" s="127">
        <f>Sponsor!D162</f>
        <v>0</v>
      </c>
      <c r="E158" s="895"/>
      <c r="F158" s="896"/>
      <c r="G158" s="896"/>
      <c r="H158" s="896"/>
      <c r="I158" s="897"/>
      <c r="J158" s="673">
        <f>J156-J157</f>
        <v>0</v>
      </c>
      <c r="K158" s="673">
        <f t="shared" si="41"/>
        <v>0</v>
      </c>
      <c r="L158" s="890"/>
      <c r="M158" s="891"/>
      <c r="N158" s="169">
        <f>D158</f>
        <v>0</v>
      </c>
      <c r="O158" s="303">
        <v>60270</v>
      </c>
      <c r="S158" s="135"/>
    </row>
    <row r="159" spans="1:30">
      <c r="A159" s="156"/>
      <c r="B159" s="115">
        <f>Sponsor!B163</f>
        <v>13</v>
      </c>
      <c r="C159" s="677" t="str">
        <f>IF(Sponsor!C163="","",Sponsor!C163)</f>
        <v/>
      </c>
      <c r="D159" s="638">
        <f>Sponsor!D163</f>
        <v>0</v>
      </c>
      <c r="E159" s="686"/>
      <c r="F159" s="686"/>
      <c r="G159" s="686"/>
      <c r="H159" s="686"/>
      <c r="I159" s="686"/>
      <c r="J159" s="638">
        <f>SUM(E159:I159)</f>
        <v>0</v>
      </c>
      <c r="K159" s="638">
        <f t="shared" si="41"/>
        <v>0</v>
      </c>
      <c r="L159" s="143"/>
      <c r="M159" s="143"/>
      <c r="N159" s="167">
        <f>K159+L159+M159</f>
        <v>0</v>
      </c>
      <c r="O159" s="304"/>
      <c r="S159" s="135"/>
    </row>
    <row r="160" spans="1:30">
      <c r="A160" s="679">
        <f>Sponsor!A164</f>
        <v>60250</v>
      </c>
      <c r="B160" s="116"/>
      <c r="C160" s="102" t="str">
        <f>Sponsor!C164</f>
        <v>Less than $25K</v>
      </c>
      <c r="D160" s="126">
        <f>Sponsor!D164</f>
        <v>0</v>
      </c>
      <c r="E160" s="892" t="s">
        <v>679</v>
      </c>
      <c r="F160" s="893"/>
      <c r="G160" s="893"/>
      <c r="H160" s="893"/>
      <c r="I160" s="894"/>
      <c r="J160" s="673">
        <f>Y134</f>
        <v>0</v>
      </c>
      <c r="K160" s="673">
        <f t="shared" si="41"/>
        <v>0</v>
      </c>
      <c r="L160" s="888" t="s">
        <v>679</v>
      </c>
      <c r="M160" s="889"/>
      <c r="N160" s="168">
        <f>D160</f>
        <v>0</v>
      </c>
      <c r="O160" s="303">
        <v>60250</v>
      </c>
      <c r="S160" s="135"/>
    </row>
    <row r="161" spans="1:30">
      <c r="A161" s="679">
        <f>Sponsor!A165</f>
        <v>60270</v>
      </c>
      <c r="B161" s="116"/>
      <c r="C161" s="102" t="str">
        <f>Sponsor!C165</f>
        <v>Greater than $25K</v>
      </c>
      <c r="D161" s="127">
        <f>Sponsor!D165</f>
        <v>0</v>
      </c>
      <c r="E161" s="895"/>
      <c r="F161" s="896"/>
      <c r="G161" s="896"/>
      <c r="H161" s="896"/>
      <c r="I161" s="897"/>
      <c r="J161" s="673">
        <f>J159-J160</f>
        <v>0</v>
      </c>
      <c r="K161" s="673">
        <f t="shared" si="41"/>
        <v>0</v>
      </c>
      <c r="L161" s="890"/>
      <c r="M161" s="891"/>
      <c r="N161" s="169">
        <f>D161</f>
        <v>0</v>
      </c>
      <c r="O161" s="303">
        <v>60270</v>
      </c>
      <c r="S161" s="135"/>
    </row>
    <row r="162" spans="1:30">
      <c r="A162" s="156"/>
      <c r="B162" s="115">
        <f>Sponsor!B166</f>
        <v>14</v>
      </c>
      <c r="C162" s="677" t="str">
        <f>IF(Sponsor!C166="","",Sponsor!C166)</f>
        <v/>
      </c>
      <c r="D162" s="638">
        <f>Sponsor!D166</f>
        <v>0</v>
      </c>
      <c r="E162" s="686"/>
      <c r="F162" s="686"/>
      <c r="G162" s="686"/>
      <c r="H162" s="686"/>
      <c r="I162" s="686"/>
      <c r="J162" s="638">
        <f>SUM(E162:I162)</f>
        <v>0</v>
      </c>
      <c r="K162" s="638">
        <f t="shared" si="41"/>
        <v>0</v>
      </c>
      <c r="L162" s="143"/>
      <c r="M162" s="143"/>
      <c r="N162" s="310">
        <f>K162+L162+M162</f>
        <v>0</v>
      </c>
      <c r="O162" s="304"/>
      <c r="S162" s="135"/>
    </row>
    <row r="163" spans="1:30">
      <c r="A163" s="679">
        <f>Sponsor!A167</f>
        <v>60250</v>
      </c>
      <c r="B163" s="116"/>
      <c r="C163" s="102" t="str">
        <f>Sponsor!C167</f>
        <v>Less than $25K</v>
      </c>
      <c r="D163" s="126">
        <f>Sponsor!D167</f>
        <v>0</v>
      </c>
      <c r="E163" s="892" t="s">
        <v>679</v>
      </c>
      <c r="F163" s="893"/>
      <c r="G163" s="893"/>
      <c r="H163" s="893"/>
      <c r="I163" s="894"/>
      <c r="J163" s="673">
        <f>Y135</f>
        <v>0</v>
      </c>
      <c r="K163" s="673">
        <f t="shared" si="41"/>
        <v>0</v>
      </c>
      <c r="L163" s="888" t="s">
        <v>679</v>
      </c>
      <c r="M163" s="889"/>
      <c r="N163" s="168">
        <f>D163</f>
        <v>0</v>
      </c>
      <c r="O163" s="303">
        <v>60250</v>
      </c>
      <c r="S163" s="135"/>
    </row>
    <row r="164" spans="1:30">
      <c r="A164" s="679">
        <f>Sponsor!A168</f>
        <v>60270</v>
      </c>
      <c r="B164" s="116"/>
      <c r="C164" s="102" t="str">
        <f>Sponsor!C168</f>
        <v>Greater than $25K</v>
      </c>
      <c r="D164" s="127">
        <f>Sponsor!D168</f>
        <v>0</v>
      </c>
      <c r="E164" s="895"/>
      <c r="F164" s="896"/>
      <c r="G164" s="896"/>
      <c r="H164" s="896"/>
      <c r="I164" s="897"/>
      <c r="J164" s="673">
        <f>J162-J163</f>
        <v>0</v>
      </c>
      <c r="K164" s="673">
        <f t="shared" si="41"/>
        <v>0</v>
      </c>
      <c r="L164" s="890"/>
      <c r="M164" s="891"/>
      <c r="N164" s="169">
        <f>D164</f>
        <v>0</v>
      </c>
      <c r="O164" s="303">
        <v>60270</v>
      </c>
      <c r="S164" s="135"/>
    </row>
    <row r="165" spans="1:30">
      <c r="A165" s="156"/>
      <c r="B165" s="115">
        <f>Sponsor!B169</f>
        <v>15</v>
      </c>
      <c r="C165" s="677" t="str">
        <f>IF(Sponsor!C169="","",Sponsor!C169)</f>
        <v/>
      </c>
      <c r="D165" s="638">
        <f>Sponsor!D169</f>
        <v>0</v>
      </c>
      <c r="E165" s="686"/>
      <c r="F165" s="686"/>
      <c r="G165" s="686"/>
      <c r="H165" s="686"/>
      <c r="I165" s="686"/>
      <c r="J165" s="638">
        <f>SUM(E165:I165)</f>
        <v>0</v>
      </c>
      <c r="K165" s="638">
        <f t="shared" si="41"/>
        <v>0</v>
      </c>
      <c r="L165" s="143"/>
      <c r="M165" s="143"/>
      <c r="N165" s="167">
        <f>K165+L165+M165</f>
        <v>0</v>
      </c>
      <c r="O165" s="304"/>
      <c r="S165" s="135"/>
    </row>
    <row r="166" spans="1:30">
      <c r="A166" s="679">
        <f>Sponsor!A170</f>
        <v>60250</v>
      </c>
      <c r="B166" s="116"/>
      <c r="C166" s="102" t="str">
        <f>Sponsor!C170</f>
        <v>Less than $25K</v>
      </c>
      <c r="D166" s="126">
        <f>Sponsor!D170</f>
        <v>0</v>
      </c>
      <c r="E166" s="892" t="s">
        <v>679</v>
      </c>
      <c r="F166" s="893"/>
      <c r="G166" s="893"/>
      <c r="H166" s="893"/>
      <c r="I166" s="894"/>
      <c r="J166" s="673">
        <f>Y136</f>
        <v>0</v>
      </c>
      <c r="K166" s="673">
        <f t="shared" si="41"/>
        <v>0</v>
      </c>
      <c r="L166" s="888" t="s">
        <v>679</v>
      </c>
      <c r="M166" s="889"/>
      <c r="N166" s="168">
        <f>D166</f>
        <v>0</v>
      </c>
      <c r="O166" s="303">
        <v>60250</v>
      </c>
      <c r="S166" s="307"/>
    </row>
    <row r="167" spans="1:30">
      <c r="A167" s="679">
        <f>Sponsor!A171</f>
        <v>60270</v>
      </c>
      <c r="B167" s="116"/>
      <c r="C167" s="102" t="str">
        <f>Sponsor!C171</f>
        <v>Greater than $25K</v>
      </c>
      <c r="D167" s="127">
        <f>Sponsor!D171</f>
        <v>0</v>
      </c>
      <c r="E167" s="895"/>
      <c r="F167" s="896"/>
      <c r="G167" s="896"/>
      <c r="H167" s="896"/>
      <c r="I167" s="897"/>
      <c r="J167" s="673">
        <f>J165-J166</f>
        <v>0</v>
      </c>
      <c r="K167" s="673">
        <f t="shared" si="41"/>
        <v>0</v>
      </c>
      <c r="L167" s="890"/>
      <c r="M167" s="891"/>
      <c r="N167" s="169">
        <f>D167</f>
        <v>0</v>
      </c>
      <c r="O167" s="303">
        <v>60270</v>
      </c>
    </row>
    <row r="168" spans="1:30">
      <c r="A168" s="156"/>
      <c r="B168" s="115">
        <f>Sponsor!B172</f>
        <v>16</v>
      </c>
      <c r="C168" s="677" t="str">
        <f>IF(Sponsor!C172="","",Sponsor!C172)</f>
        <v/>
      </c>
      <c r="D168" s="638">
        <f>Sponsor!D172</f>
        <v>0</v>
      </c>
      <c r="E168" s="686"/>
      <c r="F168" s="686"/>
      <c r="G168" s="686"/>
      <c r="H168" s="686"/>
      <c r="I168" s="686"/>
      <c r="J168" s="638">
        <f>SUM(E168:I168)</f>
        <v>0</v>
      </c>
      <c r="K168" s="638">
        <f t="shared" si="41"/>
        <v>0</v>
      </c>
      <c r="L168" s="143"/>
      <c r="M168" s="143"/>
      <c r="N168" s="167">
        <f>K168+L168+M168</f>
        <v>0</v>
      </c>
      <c r="O168" s="304"/>
      <c r="S168" s="200"/>
      <c r="T168" s="305"/>
      <c r="U168" s="223"/>
      <c r="V168" s="223"/>
      <c r="W168" s="223"/>
      <c r="X168" s="223"/>
      <c r="Y168" s="223"/>
      <c r="Z168" s="223"/>
      <c r="AA168" s="223"/>
      <c r="AB168" s="223"/>
    </row>
    <row r="169" spans="1:30">
      <c r="A169" s="679">
        <f>Sponsor!A173</f>
        <v>60250</v>
      </c>
      <c r="B169" s="116"/>
      <c r="C169" s="102" t="str">
        <f>Sponsor!C173</f>
        <v>Less than $25K</v>
      </c>
      <c r="D169" s="126">
        <f>Sponsor!D173</f>
        <v>0</v>
      </c>
      <c r="E169" s="892" t="s">
        <v>679</v>
      </c>
      <c r="F169" s="893"/>
      <c r="G169" s="893"/>
      <c r="H169" s="893"/>
      <c r="I169" s="894"/>
      <c r="J169" s="673">
        <f>Y137</f>
        <v>0</v>
      </c>
      <c r="K169" s="673">
        <f t="shared" si="41"/>
        <v>0</v>
      </c>
      <c r="L169" s="888" t="s">
        <v>679</v>
      </c>
      <c r="M169" s="889"/>
      <c r="N169" s="168">
        <f>D169</f>
        <v>0</v>
      </c>
      <c r="O169" s="303">
        <v>60250</v>
      </c>
      <c r="S169" s="306"/>
      <c r="T169" s="305"/>
      <c r="U169" s="223"/>
      <c r="V169" s="223"/>
      <c r="W169" s="223"/>
      <c r="X169" s="223"/>
      <c r="Y169" s="223"/>
      <c r="Z169" s="223"/>
      <c r="AA169" s="223"/>
      <c r="AB169" s="223"/>
      <c r="AC169" s="223"/>
      <c r="AD169" s="223"/>
    </row>
    <row r="170" spans="1:30">
      <c r="A170" s="679">
        <f>Sponsor!A174</f>
        <v>60270</v>
      </c>
      <c r="B170" s="116"/>
      <c r="C170" s="102" t="str">
        <f>Sponsor!C174</f>
        <v>Greater than $25K</v>
      </c>
      <c r="D170" s="127">
        <f>Sponsor!D174</f>
        <v>0</v>
      </c>
      <c r="E170" s="895"/>
      <c r="F170" s="896"/>
      <c r="G170" s="896"/>
      <c r="H170" s="896"/>
      <c r="I170" s="897"/>
      <c r="J170" s="673">
        <f>J168-J169</f>
        <v>0</v>
      </c>
      <c r="K170" s="673">
        <f t="shared" si="41"/>
        <v>0</v>
      </c>
      <c r="L170" s="890"/>
      <c r="M170" s="891"/>
      <c r="N170" s="169">
        <f>D170</f>
        <v>0</v>
      </c>
      <c r="O170" s="303">
        <v>60270</v>
      </c>
      <c r="S170" s="135"/>
    </row>
    <row r="171" spans="1:30">
      <c r="A171" s="156"/>
      <c r="B171" s="115">
        <f>Sponsor!B175</f>
        <v>17</v>
      </c>
      <c r="C171" s="677" t="str">
        <f>IF(Sponsor!C175="","",Sponsor!C175)</f>
        <v/>
      </c>
      <c r="D171" s="638">
        <f>Sponsor!D175</f>
        <v>0</v>
      </c>
      <c r="E171" s="686"/>
      <c r="F171" s="686"/>
      <c r="G171" s="686"/>
      <c r="H171" s="686"/>
      <c r="I171" s="686"/>
      <c r="J171" s="638">
        <f>SUM(E171:I171)</f>
        <v>0</v>
      </c>
      <c r="K171" s="638">
        <f t="shared" si="41"/>
        <v>0</v>
      </c>
      <c r="L171" s="143"/>
      <c r="M171" s="143"/>
      <c r="N171" s="167">
        <f>K171+L171+M171</f>
        <v>0</v>
      </c>
      <c r="O171" s="304"/>
      <c r="S171" s="135"/>
    </row>
    <row r="172" spans="1:30">
      <c r="A172" s="679">
        <f>Sponsor!A176</f>
        <v>60250</v>
      </c>
      <c r="B172" s="116"/>
      <c r="C172" s="102" t="str">
        <f>Sponsor!C176</f>
        <v>Less than $25K</v>
      </c>
      <c r="D172" s="126">
        <f>Sponsor!D176</f>
        <v>0</v>
      </c>
      <c r="E172" s="892" t="s">
        <v>679</v>
      </c>
      <c r="F172" s="893"/>
      <c r="G172" s="893"/>
      <c r="H172" s="893"/>
      <c r="I172" s="894"/>
      <c r="J172" s="673">
        <f>Y138</f>
        <v>0</v>
      </c>
      <c r="K172" s="673">
        <f t="shared" si="41"/>
        <v>0</v>
      </c>
      <c r="L172" s="888" t="s">
        <v>679</v>
      </c>
      <c r="M172" s="889"/>
      <c r="N172" s="168">
        <f>D172</f>
        <v>0</v>
      </c>
      <c r="O172" s="303">
        <v>60250</v>
      </c>
      <c r="S172" s="135"/>
    </row>
    <row r="173" spans="1:30">
      <c r="A173" s="679">
        <f>Sponsor!A177</f>
        <v>60270</v>
      </c>
      <c r="B173" s="116"/>
      <c r="C173" s="102" t="str">
        <f>Sponsor!C177</f>
        <v>Greater than $25K</v>
      </c>
      <c r="D173" s="127">
        <f>Sponsor!D177</f>
        <v>0</v>
      </c>
      <c r="E173" s="895"/>
      <c r="F173" s="896"/>
      <c r="G173" s="896"/>
      <c r="H173" s="896"/>
      <c r="I173" s="897"/>
      <c r="J173" s="673">
        <f>J171-J172</f>
        <v>0</v>
      </c>
      <c r="K173" s="673">
        <f t="shared" si="41"/>
        <v>0</v>
      </c>
      <c r="L173" s="890"/>
      <c r="M173" s="891"/>
      <c r="N173" s="169">
        <f>D173</f>
        <v>0</v>
      </c>
      <c r="O173" s="303">
        <v>60270</v>
      </c>
      <c r="S173" s="135"/>
    </row>
    <row r="174" spans="1:30">
      <c r="A174" s="156"/>
      <c r="B174" s="115">
        <f>Sponsor!B178</f>
        <v>18</v>
      </c>
      <c r="C174" s="677" t="str">
        <f>IF(Sponsor!C178="","",Sponsor!C178)</f>
        <v/>
      </c>
      <c r="D174" s="638">
        <f>Sponsor!D178</f>
        <v>0</v>
      </c>
      <c r="E174" s="686"/>
      <c r="F174" s="686"/>
      <c r="G174" s="686"/>
      <c r="H174" s="686"/>
      <c r="I174" s="686"/>
      <c r="J174" s="638">
        <f>SUM(E174:I174)</f>
        <v>0</v>
      </c>
      <c r="K174" s="638">
        <f t="shared" si="41"/>
        <v>0</v>
      </c>
      <c r="L174" s="143"/>
      <c r="M174" s="143"/>
      <c r="N174" s="167">
        <f>K174+L174+M174</f>
        <v>0</v>
      </c>
      <c r="O174" s="304"/>
      <c r="S174" s="135"/>
    </row>
    <row r="175" spans="1:30">
      <c r="A175" s="679">
        <f>Sponsor!A179</f>
        <v>60250</v>
      </c>
      <c r="B175" s="116"/>
      <c r="C175" s="102" t="str">
        <f>Sponsor!C179</f>
        <v>Less than $25K</v>
      </c>
      <c r="D175" s="126">
        <f>Sponsor!D179</f>
        <v>0</v>
      </c>
      <c r="E175" s="892" t="s">
        <v>679</v>
      </c>
      <c r="F175" s="893"/>
      <c r="G175" s="893"/>
      <c r="H175" s="893"/>
      <c r="I175" s="894"/>
      <c r="J175" s="673">
        <f>Y139</f>
        <v>0</v>
      </c>
      <c r="K175" s="673">
        <f t="shared" si="41"/>
        <v>0</v>
      </c>
      <c r="L175" s="888" t="s">
        <v>679</v>
      </c>
      <c r="M175" s="889"/>
      <c r="N175" s="168">
        <f>D175</f>
        <v>0</v>
      </c>
      <c r="O175" s="303">
        <v>60250</v>
      </c>
      <c r="S175" s="135"/>
    </row>
    <row r="176" spans="1:30">
      <c r="A176" s="679">
        <f>Sponsor!A180</f>
        <v>60270</v>
      </c>
      <c r="B176" s="116"/>
      <c r="C176" s="102" t="str">
        <f>Sponsor!C180</f>
        <v>Greater than $25K</v>
      </c>
      <c r="D176" s="127">
        <f>Sponsor!D180</f>
        <v>0</v>
      </c>
      <c r="E176" s="895"/>
      <c r="F176" s="896"/>
      <c r="G176" s="896"/>
      <c r="H176" s="896"/>
      <c r="I176" s="897"/>
      <c r="J176" s="673">
        <f>J174-J175</f>
        <v>0</v>
      </c>
      <c r="K176" s="673">
        <f t="shared" si="41"/>
        <v>0</v>
      </c>
      <c r="L176" s="890"/>
      <c r="M176" s="891"/>
      <c r="N176" s="169">
        <f>D176</f>
        <v>0</v>
      </c>
      <c r="O176" s="303">
        <v>60270</v>
      </c>
      <c r="S176" s="135"/>
    </row>
    <row r="177" spans="1:30">
      <c r="A177" s="156"/>
      <c r="B177" s="115">
        <f>Sponsor!B181</f>
        <v>19</v>
      </c>
      <c r="C177" s="677" t="str">
        <f>IF(Sponsor!C181="","",Sponsor!C181)</f>
        <v/>
      </c>
      <c r="D177" s="638">
        <f>Sponsor!D181</f>
        <v>0</v>
      </c>
      <c r="E177" s="686"/>
      <c r="F177" s="686"/>
      <c r="G177" s="686"/>
      <c r="H177" s="686"/>
      <c r="I177" s="686"/>
      <c r="J177" s="638">
        <f>SUM(E177:I177)</f>
        <v>0</v>
      </c>
      <c r="K177" s="638">
        <f t="shared" si="41"/>
        <v>0</v>
      </c>
      <c r="L177" s="143"/>
      <c r="M177" s="143"/>
      <c r="N177" s="167">
        <f>K177+L177+M177</f>
        <v>0</v>
      </c>
      <c r="O177" s="304"/>
      <c r="S177" s="135"/>
    </row>
    <row r="178" spans="1:30">
      <c r="A178" s="679">
        <f>Sponsor!A182</f>
        <v>60250</v>
      </c>
      <c r="B178" s="116"/>
      <c r="C178" s="102" t="str">
        <f>Sponsor!C182</f>
        <v>Less than $25K</v>
      </c>
      <c r="D178" s="126">
        <f>Sponsor!D182</f>
        <v>0</v>
      </c>
      <c r="E178" s="892" t="s">
        <v>679</v>
      </c>
      <c r="F178" s="893"/>
      <c r="G178" s="893"/>
      <c r="H178" s="893"/>
      <c r="I178" s="894"/>
      <c r="J178" s="673">
        <f>Y140</f>
        <v>0</v>
      </c>
      <c r="K178" s="673">
        <f t="shared" si="41"/>
        <v>0</v>
      </c>
      <c r="L178" s="888" t="s">
        <v>679</v>
      </c>
      <c r="M178" s="889"/>
      <c r="N178" s="168">
        <f>D178</f>
        <v>0</v>
      </c>
      <c r="O178" s="303">
        <v>60250</v>
      </c>
      <c r="S178" s="135"/>
    </row>
    <row r="179" spans="1:30">
      <c r="A179" s="679">
        <f>Sponsor!A183</f>
        <v>60270</v>
      </c>
      <c r="B179" s="116"/>
      <c r="C179" s="102" t="str">
        <f>Sponsor!C183</f>
        <v>Greater than $25K</v>
      </c>
      <c r="D179" s="127">
        <f>Sponsor!D183</f>
        <v>0</v>
      </c>
      <c r="E179" s="895"/>
      <c r="F179" s="896"/>
      <c r="G179" s="896"/>
      <c r="H179" s="896"/>
      <c r="I179" s="897"/>
      <c r="J179" s="673">
        <f>J177-J178</f>
        <v>0</v>
      </c>
      <c r="K179" s="673">
        <f t="shared" si="41"/>
        <v>0</v>
      </c>
      <c r="L179" s="890"/>
      <c r="M179" s="891"/>
      <c r="N179" s="169">
        <f>D179</f>
        <v>0</v>
      </c>
      <c r="O179" s="303">
        <v>60270</v>
      </c>
      <c r="S179" s="135"/>
    </row>
    <row r="180" spans="1:30">
      <c r="A180" s="156"/>
      <c r="B180" s="115">
        <f>Sponsor!B184</f>
        <v>20</v>
      </c>
      <c r="C180" s="677" t="str">
        <f>IF(Sponsor!C184="","",Sponsor!C184)</f>
        <v/>
      </c>
      <c r="D180" s="638">
        <f>Sponsor!D184</f>
        <v>0</v>
      </c>
      <c r="E180" s="686"/>
      <c r="F180" s="686"/>
      <c r="G180" s="686"/>
      <c r="H180" s="686"/>
      <c r="I180" s="686"/>
      <c r="J180" s="638">
        <f>SUM(E180:I180)</f>
        <v>0</v>
      </c>
      <c r="K180" s="638">
        <f t="shared" si="41"/>
        <v>0</v>
      </c>
      <c r="L180" s="143"/>
      <c r="M180" s="143"/>
      <c r="N180" s="167">
        <f>K180+L180+M180</f>
        <v>0</v>
      </c>
      <c r="O180" s="304"/>
      <c r="S180" s="135"/>
    </row>
    <row r="181" spans="1:30">
      <c r="A181" s="679">
        <f>Sponsor!A185</f>
        <v>60250</v>
      </c>
      <c r="B181" s="116"/>
      <c r="C181" s="102" t="str">
        <f>Sponsor!C185</f>
        <v>Less than $25K</v>
      </c>
      <c r="D181" s="126">
        <f>Sponsor!D185</f>
        <v>0</v>
      </c>
      <c r="E181" s="892" t="s">
        <v>679</v>
      </c>
      <c r="F181" s="893"/>
      <c r="G181" s="893"/>
      <c r="H181" s="893"/>
      <c r="I181" s="894"/>
      <c r="J181" s="673">
        <f>Y141</f>
        <v>0</v>
      </c>
      <c r="K181" s="673">
        <f t="shared" si="41"/>
        <v>0</v>
      </c>
      <c r="L181" s="888" t="s">
        <v>679</v>
      </c>
      <c r="M181" s="889"/>
      <c r="N181" s="168">
        <f>D181</f>
        <v>0</v>
      </c>
      <c r="O181" s="303">
        <v>60250</v>
      </c>
      <c r="S181" s="135"/>
    </row>
    <row r="182" spans="1:30" ht="13.5" thickBot="1">
      <c r="A182" s="679">
        <f>Sponsor!A186</f>
        <v>60270</v>
      </c>
      <c r="B182" s="116"/>
      <c r="C182" s="102" t="str">
        <f>Sponsor!C186</f>
        <v>Greater than $25K</v>
      </c>
      <c r="D182" s="127">
        <f>Sponsor!D186</f>
        <v>0</v>
      </c>
      <c r="E182" s="895"/>
      <c r="F182" s="896"/>
      <c r="G182" s="896"/>
      <c r="H182" s="896"/>
      <c r="I182" s="897"/>
      <c r="J182" s="171">
        <f>J180-J181</f>
        <v>0</v>
      </c>
      <c r="K182" s="171">
        <f t="shared" si="41"/>
        <v>0</v>
      </c>
      <c r="L182" s="898"/>
      <c r="M182" s="899"/>
      <c r="N182" s="169">
        <f>D182</f>
        <v>0</v>
      </c>
      <c r="O182" s="303">
        <v>60270</v>
      </c>
      <c r="S182" s="135"/>
    </row>
    <row r="183" spans="1:30" s="256" customFormat="1" ht="13.5" thickBot="1">
      <c r="A183" s="209"/>
      <c r="B183" s="887" t="s">
        <v>602</v>
      </c>
      <c r="C183" s="1055"/>
      <c r="D183" s="308">
        <f>Sponsor!D187</f>
        <v>0</v>
      </c>
      <c r="E183" s="309">
        <f>E123+E126+E129+E132+E135+E138+E141+E144+E147+E150+E153+E156+E159+E162+E165+E168+E171+E174+E177+E180</f>
        <v>0</v>
      </c>
      <c r="F183" s="309">
        <f t="shared" ref="F183:M183" si="44">F123+F126+F129+F132+F135+F138+F141+F144+F147+F150+F153+F156+F159+F162+F165+F168+F171+F174+F177+F180</f>
        <v>0</v>
      </c>
      <c r="G183" s="309">
        <f t="shared" si="44"/>
        <v>0</v>
      </c>
      <c r="H183" s="309">
        <f t="shared" si="44"/>
        <v>0</v>
      </c>
      <c r="I183" s="309">
        <f t="shared" si="44"/>
        <v>0</v>
      </c>
      <c r="J183" s="309">
        <f t="shared" si="44"/>
        <v>0</v>
      </c>
      <c r="K183" s="309">
        <f t="shared" si="44"/>
        <v>0</v>
      </c>
      <c r="L183" s="309">
        <f t="shared" si="44"/>
        <v>0</v>
      </c>
      <c r="M183" s="309">
        <f t="shared" si="44"/>
        <v>0</v>
      </c>
      <c r="N183" s="170">
        <f>K183+L183+M183</f>
        <v>0</v>
      </c>
      <c r="R183"/>
      <c r="S183" s="135"/>
      <c r="T183"/>
      <c r="U183"/>
      <c r="V183"/>
      <c r="W183"/>
      <c r="X183"/>
      <c r="Y183"/>
      <c r="Z183"/>
      <c r="AA183"/>
      <c r="AB183"/>
      <c r="AC183"/>
      <c r="AD183"/>
    </row>
    <row r="184" spans="1:30">
      <c r="S184" s="135"/>
    </row>
    <row r="185" spans="1:30">
      <c r="S185" s="135"/>
    </row>
    <row r="186" spans="1:30">
      <c r="B186" s="209"/>
      <c r="S186" s="135"/>
    </row>
    <row r="187" spans="1:30">
      <c r="S187" s="135"/>
    </row>
    <row r="188" spans="1:30">
      <c r="S188" s="135"/>
    </row>
    <row r="189" spans="1:30">
      <c r="S189" s="135"/>
    </row>
    <row r="190" spans="1:30">
      <c r="S190" s="307"/>
    </row>
    <row r="192" spans="1:30">
      <c r="S192" s="200"/>
      <c r="T192" s="305"/>
      <c r="U192" s="223"/>
      <c r="V192" s="223"/>
      <c r="W192" s="223"/>
      <c r="X192" s="223"/>
      <c r="Y192" s="223"/>
      <c r="Z192" s="223"/>
      <c r="AA192" s="223"/>
      <c r="AB192" s="223"/>
    </row>
    <row r="193" spans="19:30">
      <c r="S193" s="306"/>
      <c r="T193" s="305"/>
      <c r="U193" s="223"/>
      <c r="V193" s="223"/>
      <c r="W193" s="223"/>
      <c r="X193" s="223"/>
      <c r="Y193" s="223"/>
      <c r="Z193" s="223"/>
      <c r="AA193" s="223"/>
      <c r="AB193" s="223"/>
      <c r="AC193" s="223"/>
      <c r="AD193" s="223"/>
    </row>
    <row r="194" spans="19:30">
      <c r="S194" s="135"/>
    </row>
    <row r="195" spans="19:30">
      <c r="S195" s="135"/>
    </row>
    <row r="196" spans="19:30">
      <c r="S196" s="135"/>
    </row>
    <row r="197" spans="19:30">
      <c r="S197" s="135"/>
    </row>
    <row r="198" spans="19:30">
      <c r="S198" s="135"/>
    </row>
    <row r="199" spans="19:30">
      <c r="S199" s="135"/>
    </row>
    <row r="200" spans="19:30">
      <c r="S200" s="135"/>
    </row>
    <row r="201" spans="19:30">
      <c r="S201" s="135"/>
    </row>
    <row r="202" spans="19:30">
      <c r="S202" s="135"/>
    </row>
    <row r="203" spans="19:30">
      <c r="S203" s="135"/>
    </row>
    <row r="204" spans="19:30">
      <c r="S204" s="135"/>
    </row>
    <row r="205" spans="19:30">
      <c r="S205" s="135"/>
    </row>
    <row r="206" spans="19:30">
      <c r="S206" s="135"/>
    </row>
    <row r="207" spans="19:30">
      <c r="S207" s="135"/>
    </row>
    <row r="208" spans="19:30">
      <c r="S208" s="135"/>
    </row>
    <row r="209" spans="19:30">
      <c r="S209" s="135"/>
    </row>
    <row r="210" spans="19:30">
      <c r="S210" s="135"/>
    </row>
    <row r="211" spans="19:30">
      <c r="S211" s="135"/>
    </row>
    <row r="212" spans="19:30">
      <c r="S212" s="135"/>
    </row>
    <row r="213" spans="19:30">
      <c r="S213" s="135"/>
    </row>
    <row r="214" spans="19:30">
      <c r="S214" s="307"/>
    </row>
    <row r="216" spans="19:30">
      <c r="S216" s="200"/>
      <c r="T216" s="305"/>
      <c r="U216" s="223"/>
      <c r="V216" s="223"/>
      <c r="W216" s="223"/>
      <c r="X216" s="223"/>
      <c r="Y216" s="223"/>
      <c r="Z216" s="223"/>
      <c r="AA216" s="223"/>
      <c r="AB216" s="223"/>
    </row>
    <row r="217" spans="19:30">
      <c r="S217" s="306"/>
      <c r="T217" s="305"/>
      <c r="U217" s="223"/>
      <c r="V217" s="223"/>
      <c r="W217" s="223"/>
      <c r="X217" s="223"/>
      <c r="Y217" s="223"/>
      <c r="Z217" s="223"/>
      <c r="AA217" s="223"/>
      <c r="AB217" s="223"/>
      <c r="AC217" s="223"/>
      <c r="AD217" s="223"/>
    </row>
    <row r="218" spans="19:30">
      <c r="S218" s="135"/>
    </row>
    <row r="219" spans="19:30">
      <c r="S219" s="135"/>
    </row>
    <row r="220" spans="19:30">
      <c r="S220" s="135"/>
    </row>
    <row r="221" spans="19:30">
      <c r="S221" s="135"/>
    </row>
    <row r="222" spans="19:30">
      <c r="S222" s="135"/>
    </row>
    <row r="223" spans="19:30">
      <c r="S223" s="135"/>
    </row>
    <row r="224" spans="19:30">
      <c r="S224" s="135"/>
    </row>
    <row r="225" spans="19:19">
      <c r="S225" s="135"/>
    </row>
    <row r="226" spans="19:19">
      <c r="S226" s="135"/>
    </row>
    <row r="227" spans="19:19">
      <c r="S227" s="135"/>
    </row>
    <row r="228" spans="19:19">
      <c r="S228" s="135"/>
    </row>
    <row r="229" spans="19:19">
      <c r="S229" s="135"/>
    </row>
    <row r="230" spans="19:19">
      <c r="S230" s="135"/>
    </row>
    <row r="231" spans="19:19">
      <c r="S231" s="135"/>
    </row>
    <row r="232" spans="19:19">
      <c r="S232" s="135"/>
    </row>
    <row r="233" spans="19:19">
      <c r="S233" s="135"/>
    </row>
    <row r="234" spans="19:19">
      <c r="S234" s="135"/>
    </row>
    <row r="235" spans="19:19">
      <c r="S235" s="135"/>
    </row>
    <row r="236" spans="19:19">
      <c r="S236" s="135"/>
    </row>
    <row r="237" spans="19:19">
      <c r="S237" s="135"/>
    </row>
    <row r="238" spans="19:19">
      <c r="S238" s="307"/>
    </row>
  </sheetData>
  <sheetProtection algorithmName="SHA-512" hashValue="PmbGWxWU/2ITAKh/XACa/VusAjrlVKDAGAZiIa8rtkSOxJkatg+WL3jhyUtlqdpBPPvYJS0i2WDn/MyGQV/UFg==" saltValue="Pnt9GuV9PYXnUFJujHuK3g==" spinCount="100000" sheet="1" objects="1" scenarios="1"/>
  <dataConsolidate/>
  <mergeCells count="118">
    <mergeCell ref="L151:M152"/>
    <mergeCell ref="L148:M149"/>
    <mergeCell ref="E151:I152"/>
    <mergeCell ref="F55:J59"/>
    <mergeCell ref="L142:M143"/>
    <mergeCell ref="L145:M146"/>
    <mergeCell ref="L124:M125"/>
    <mergeCell ref="L127:M128"/>
    <mergeCell ref="L130:M131"/>
    <mergeCell ref="L139:M140"/>
    <mergeCell ref="L136:M137"/>
    <mergeCell ref="L133:M134"/>
    <mergeCell ref="M78:M83"/>
    <mergeCell ref="E127:I128"/>
    <mergeCell ref="E133:I134"/>
    <mergeCell ref="B67:C67"/>
    <mergeCell ref="B66:C66"/>
    <mergeCell ref="B69:C69"/>
    <mergeCell ref="E148:I149"/>
    <mergeCell ref="E136:I137"/>
    <mergeCell ref="E130:I131"/>
    <mergeCell ref="D4:E4"/>
    <mergeCell ref="F4:G4"/>
    <mergeCell ref="H3:J3"/>
    <mergeCell ref="H4:J4"/>
    <mergeCell ref="B63:C63"/>
    <mergeCell ref="E139:I140"/>
    <mergeCell ref="E142:I143"/>
    <mergeCell ref="E145:I146"/>
    <mergeCell ref="B110:N110"/>
    <mergeCell ref="B12:C12"/>
    <mergeCell ref="B23:C23"/>
    <mergeCell ref="B26:C26"/>
    <mergeCell ref="B60:C60"/>
    <mergeCell ref="B68:C68"/>
    <mergeCell ref="B62:C62"/>
    <mergeCell ref="B80:C80"/>
    <mergeCell ref="E124:I125"/>
    <mergeCell ref="B77:C77"/>
    <mergeCell ref="B183:C183"/>
    <mergeCell ref="L154:M155"/>
    <mergeCell ref="L157:M158"/>
    <mergeCell ref="L160:M161"/>
    <mergeCell ref="L163:M164"/>
    <mergeCell ref="L166:M167"/>
    <mergeCell ref="L175:M176"/>
    <mergeCell ref="E181:I182"/>
    <mergeCell ref="E175:I176"/>
    <mergeCell ref="E178:I179"/>
    <mergeCell ref="L169:M170"/>
    <mergeCell ref="L172:M173"/>
    <mergeCell ref="L178:M179"/>
    <mergeCell ref="L181:M182"/>
    <mergeCell ref="E160:I161"/>
    <mergeCell ref="E163:I164"/>
    <mergeCell ref="E166:I167"/>
    <mergeCell ref="E169:I170"/>
    <mergeCell ref="E172:I173"/>
    <mergeCell ref="E154:I155"/>
    <mergeCell ref="E157:I158"/>
    <mergeCell ref="B79:C79"/>
    <mergeCell ref="B75:C75"/>
    <mergeCell ref="B73:C73"/>
    <mergeCell ref="B74:C74"/>
    <mergeCell ref="P107:R107"/>
    <mergeCell ref="B120:C120"/>
    <mergeCell ref="B102:C102"/>
    <mergeCell ref="B83:C83"/>
    <mergeCell ref="B78:C78"/>
    <mergeCell ref="B81:C81"/>
    <mergeCell ref="B84:C84"/>
    <mergeCell ref="B109:C109"/>
    <mergeCell ref="Y120:AD120"/>
    <mergeCell ref="S120:S121"/>
    <mergeCell ref="O104:R104"/>
    <mergeCell ref="P108:R108"/>
    <mergeCell ref="P105:R105"/>
    <mergeCell ref="T120:X120"/>
    <mergeCell ref="O7:Q7"/>
    <mergeCell ref="N5:N6"/>
    <mergeCell ref="Q5:Q6"/>
    <mergeCell ref="D54:D59"/>
    <mergeCell ref="O37:Q37"/>
    <mergeCell ref="O43:Q43"/>
    <mergeCell ref="B52:C52"/>
    <mergeCell ref="B13:C13"/>
    <mergeCell ref="B53:C53"/>
    <mergeCell ref="B36:C36"/>
    <mergeCell ref="L54:M54"/>
    <mergeCell ref="B42:C42"/>
    <mergeCell ref="B31:C31"/>
    <mergeCell ref="O27:Q27"/>
    <mergeCell ref="O14:Q14"/>
    <mergeCell ref="O54:O59"/>
    <mergeCell ref="O32:Q32"/>
    <mergeCell ref="B30:C30"/>
    <mergeCell ref="A1:C1"/>
    <mergeCell ref="D1:N1"/>
    <mergeCell ref="D5:D6"/>
    <mergeCell ref="H2:J2"/>
    <mergeCell ref="A2:B2"/>
    <mergeCell ref="A3:B3"/>
    <mergeCell ref="O1:Q1"/>
    <mergeCell ref="K5:K6"/>
    <mergeCell ref="O5:O6"/>
    <mergeCell ref="A5:A6"/>
    <mergeCell ref="L5:M5"/>
    <mergeCell ref="D3:G3"/>
    <mergeCell ref="E5:J5"/>
    <mergeCell ref="O2:Q4"/>
    <mergeCell ref="B5:B6"/>
    <mergeCell ref="C5:C6"/>
    <mergeCell ref="P5:P6"/>
    <mergeCell ref="D2:G2"/>
    <mergeCell ref="A4:B4"/>
    <mergeCell ref="K2:L2"/>
    <mergeCell ref="K3:L3"/>
    <mergeCell ref="K4:L4"/>
  </mergeCells>
  <phoneticPr fontId="0" type="noConversion"/>
  <conditionalFormatting sqref="A8">
    <cfRule type="expression" dxfId="525" priority="118" stopIfTrue="1">
      <formula>OR($AH$8&gt;0,$AJ$8&gt;0)</formula>
    </cfRule>
  </conditionalFormatting>
  <conditionalFormatting sqref="A9">
    <cfRule type="expression" dxfId="524" priority="117" stopIfTrue="1">
      <formula>OR($AH$9&gt;0,$AJ$9&gt;0)</formula>
    </cfRule>
  </conditionalFormatting>
  <conditionalFormatting sqref="A10">
    <cfRule type="expression" dxfId="523" priority="116" stopIfTrue="1">
      <formula>OR($AH$10&gt;0,$AJ$10&gt;0)</formula>
    </cfRule>
  </conditionalFormatting>
  <conditionalFormatting sqref="A11">
    <cfRule type="expression" dxfId="522" priority="115" stopIfTrue="1">
      <formula>OR($AH$11&gt;0,$AJ$11&gt;0)</formula>
    </cfRule>
  </conditionalFormatting>
  <conditionalFormatting sqref="A86">
    <cfRule type="expression" dxfId="521" priority="111" stopIfTrue="1">
      <formula>OR($AH$15&gt;0,$AJ$15&gt;0)</formula>
    </cfRule>
  </conditionalFormatting>
  <conditionalFormatting sqref="A87">
    <cfRule type="expression" dxfId="520" priority="110" stopIfTrue="1">
      <formula>OR($AH$16&gt;0,$AJ$16&gt;0)</formula>
    </cfRule>
  </conditionalFormatting>
  <conditionalFormatting sqref="A88">
    <cfRule type="expression" dxfId="519" priority="109" stopIfTrue="1">
      <formula>OR($AH$17&gt;0,$AJ$17&gt;0)</formula>
    </cfRule>
  </conditionalFormatting>
  <conditionalFormatting sqref="A89">
    <cfRule type="expression" dxfId="518" priority="108" stopIfTrue="1">
      <formula>OR($AH$18&gt;0,$AJ$18&gt;0)</formula>
    </cfRule>
  </conditionalFormatting>
  <conditionalFormatting sqref="A90">
    <cfRule type="expression" dxfId="517" priority="107" stopIfTrue="1">
      <formula>OR($AH$19&gt;0,$AJ$19&gt;0)</formula>
    </cfRule>
  </conditionalFormatting>
  <conditionalFormatting sqref="A91">
    <cfRule type="expression" dxfId="516" priority="106" stopIfTrue="1">
      <formula>OR($AH$20&gt;0,$AJ$20&gt;0)</formula>
    </cfRule>
  </conditionalFormatting>
  <conditionalFormatting sqref="A92">
    <cfRule type="expression" dxfId="515" priority="105" stopIfTrue="1">
      <formula>OR($AH$21&gt;0,$AJ$21&gt;0)</formula>
    </cfRule>
  </conditionalFormatting>
  <conditionalFormatting sqref="A93">
    <cfRule type="expression" dxfId="514" priority="104" stopIfTrue="1">
      <formula>OR($AH$22&gt;0,$AJ$22&gt;0)</formula>
    </cfRule>
  </conditionalFormatting>
  <conditionalFormatting sqref="A94">
    <cfRule type="expression" dxfId="513" priority="103" stopIfTrue="1">
      <formula>OR($AH$23&gt;0,$AJ$23&gt;0)</formula>
    </cfRule>
  </conditionalFormatting>
  <conditionalFormatting sqref="A95">
    <cfRule type="expression" dxfId="512" priority="102" stopIfTrue="1">
      <formula>OR($AH$24&gt;0,$AJ$24&gt;0)</formula>
    </cfRule>
  </conditionalFormatting>
  <conditionalFormatting sqref="A96">
    <cfRule type="expression" dxfId="511" priority="101" stopIfTrue="1">
      <formula>OR($AH$25&gt;0,$AJ$25&gt;0)</formula>
    </cfRule>
  </conditionalFormatting>
  <conditionalFormatting sqref="A97">
    <cfRule type="expression" dxfId="510" priority="100" stopIfTrue="1">
      <formula>OR($AH$26&gt;0,$AJ$26&gt;0)</formula>
    </cfRule>
  </conditionalFormatting>
  <conditionalFormatting sqref="A98">
    <cfRule type="expression" dxfId="509" priority="99" stopIfTrue="1">
      <formula>OR($AH$27&gt;0,$AJ$27&gt;0)</formula>
    </cfRule>
  </conditionalFormatting>
  <conditionalFormatting sqref="A99">
    <cfRule type="expression" dxfId="508" priority="98" stopIfTrue="1">
      <formula>OR($AH$28&gt;0,$AJ$28&gt;0)</formula>
    </cfRule>
  </conditionalFormatting>
  <conditionalFormatting sqref="A29">
    <cfRule type="expression" dxfId="507" priority="97" stopIfTrue="1">
      <formula>OR($AH$35&gt;0,$AJ$35&gt;0)</formula>
    </cfRule>
  </conditionalFormatting>
  <conditionalFormatting sqref="A104">
    <cfRule type="expression" dxfId="506" priority="95" stopIfTrue="1">
      <formula>OR($AH$37&gt;0,$AJ$37&gt;0)</formula>
    </cfRule>
  </conditionalFormatting>
  <conditionalFormatting sqref="A105">
    <cfRule type="expression" dxfId="505" priority="94" stopIfTrue="1">
      <formula>OR($AH$38&gt;0,$AJ$38&gt;0)</formula>
    </cfRule>
  </conditionalFormatting>
  <conditionalFormatting sqref="A106">
    <cfRule type="expression" dxfId="504" priority="93" stopIfTrue="1">
      <formula>OR($AH$39&gt;0,$AJ$39&gt;0)</formula>
    </cfRule>
  </conditionalFormatting>
  <conditionalFormatting sqref="A111">
    <cfRule type="expression" dxfId="503" priority="68" stopIfTrue="1">
      <formula>OR($AH$45&gt;0,$AJ$45&gt;0)</formula>
    </cfRule>
  </conditionalFormatting>
  <conditionalFormatting sqref="A112">
    <cfRule type="expression" dxfId="502" priority="67" stopIfTrue="1">
      <formula>OR($AH$46&gt;0,$AJ$46&gt;0)</formula>
    </cfRule>
  </conditionalFormatting>
  <conditionalFormatting sqref="A113">
    <cfRule type="expression" dxfId="501" priority="66" stopIfTrue="1">
      <formula>OR($AH$47&gt;0,$AJ$47&gt;0)</formula>
    </cfRule>
  </conditionalFormatting>
  <conditionalFormatting sqref="A114">
    <cfRule type="expression" dxfId="500" priority="65" stopIfTrue="1">
      <formula>OR($AH$48&gt;0,$AJ$48&gt;0)</formula>
    </cfRule>
  </conditionalFormatting>
  <conditionalFormatting sqref="A115">
    <cfRule type="expression" dxfId="499" priority="64" stopIfTrue="1">
      <formula>OR($AH$49&gt;0,$AJ$49&gt;0)</formula>
    </cfRule>
  </conditionalFormatting>
  <conditionalFormatting sqref="A116">
    <cfRule type="expression" dxfId="498" priority="63" stopIfTrue="1">
      <formula>OR($AH$50&gt;0,$AJ$50&gt;0)</formula>
    </cfRule>
  </conditionalFormatting>
  <conditionalFormatting sqref="A117">
    <cfRule type="expression" dxfId="497" priority="62" stopIfTrue="1">
      <formula>OR($AH$51&gt;0,$AJ$51&gt;0)</formula>
    </cfRule>
  </conditionalFormatting>
  <conditionalFormatting sqref="A101">
    <cfRule type="expression" dxfId="496" priority="51" stopIfTrue="1">
      <formula>OR($AH$30&gt;0,$AJ$30&gt;0)</formula>
    </cfRule>
  </conditionalFormatting>
  <conditionalFormatting sqref="A107">
    <cfRule type="expression" dxfId="495" priority="50" stopIfTrue="1">
      <formula>OR($AH$40&gt;0,$AJ$40&gt;0)</formula>
    </cfRule>
  </conditionalFormatting>
  <conditionalFormatting sqref="A100">
    <cfRule type="expression" dxfId="494" priority="138" stopIfTrue="1">
      <formula>OR($AH$29&gt;0,$AJ$29&gt;0)</formula>
    </cfRule>
  </conditionalFormatting>
  <conditionalFormatting sqref="A108">
    <cfRule type="expression" dxfId="493" priority="144" stopIfTrue="1">
      <formula>OR($AH$41&gt;0,$AJ$41&gt;0)</formula>
    </cfRule>
  </conditionalFormatting>
  <conditionalFormatting sqref="A28">
    <cfRule type="expression" dxfId="492" priority="145" stopIfTrue="1">
      <formula>OR($AH$34&gt;0,$AJ$34&gt;0)</formula>
    </cfRule>
  </conditionalFormatting>
  <conditionalFormatting sqref="E24:E25">
    <cfRule type="expression" dxfId="491" priority="147" stopIfTrue="1">
      <formula>$AC$31&gt;0</formula>
    </cfRule>
  </conditionalFormatting>
  <conditionalFormatting sqref="F24:F25">
    <cfRule type="expression" dxfId="490" priority="148" stopIfTrue="1">
      <formula>$AD$31&gt;0</formula>
    </cfRule>
  </conditionalFormatting>
  <conditionalFormatting sqref="G24:G25">
    <cfRule type="expression" dxfId="489" priority="149" stopIfTrue="1">
      <formula>$AE$31&gt;0</formula>
    </cfRule>
  </conditionalFormatting>
  <conditionalFormatting sqref="H24:H25">
    <cfRule type="expression" dxfId="488" priority="150" stopIfTrue="1">
      <formula>$AF$31&gt;0</formula>
    </cfRule>
  </conditionalFormatting>
  <conditionalFormatting sqref="I24:I25">
    <cfRule type="expression" dxfId="487" priority="151" stopIfTrue="1">
      <formula>$AG$31&gt;0</formula>
    </cfRule>
  </conditionalFormatting>
  <conditionalFormatting sqref="E30 E109">
    <cfRule type="expression" dxfId="486" priority="152" stopIfTrue="1">
      <formula>$AC$42&gt;0</formula>
    </cfRule>
  </conditionalFormatting>
  <conditionalFormatting sqref="F30 F109">
    <cfRule type="expression" dxfId="485" priority="154" stopIfTrue="1">
      <formula>$AD$42&gt;0</formula>
    </cfRule>
  </conditionalFormatting>
  <conditionalFormatting sqref="G30 G109">
    <cfRule type="expression" dxfId="484" priority="156" stopIfTrue="1">
      <formula>$AE$42&gt;0</formula>
    </cfRule>
  </conditionalFormatting>
  <conditionalFormatting sqref="H30 H109">
    <cfRule type="expression" dxfId="483" priority="158" stopIfTrue="1">
      <formula>$AF$42&gt;0</formula>
    </cfRule>
  </conditionalFormatting>
  <conditionalFormatting sqref="I30 I109">
    <cfRule type="expression" dxfId="482" priority="160" stopIfTrue="1">
      <formula>$AG$42&gt;0</formula>
    </cfRule>
  </conditionalFormatting>
  <conditionalFormatting sqref="E102">
    <cfRule type="expression" dxfId="481" priority="162" stopIfTrue="1">
      <formula>$AC$32&gt;0</formula>
    </cfRule>
  </conditionalFormatting>
  <conditionalFormatting sqref="F102">
    <cfRule type="expression" dxfId="480" priority="163" stopIfTrue="1">
      <formula>$AD$32&gt;0</formula>
    </cfRule>
  </conditionalFormatting>
  <conditionalFormatting sqref="G102">
    <cfRule type="expression" dxfId="479" priority="164" stopIfTrue="1">
      <formula>$AE$32&gt;0</formula>
    </cfRule>
  </conditionalFormatting>
  <conditionalFormatting sqref="H102">
    <cfRule type="expression" dxfId="478" priority="165" stopIfTrue="1">
      <formula>$AF$32&gt;0</formula>
    </cfRule>
  </conditionalFormatting>
  <conditionalFormatting sqref="I102">
    <cfRule type="expression" dxfId="477" priority="166" stopIfTrue="1">
      <formula>$AG$32&gt;0</formula>
    </cfRule>
  </conditionalFormatting>
  <conditionalFormatting sqref="A118">
    <cfRule type="expression" dxfId="476" priority="174" stopIfTrue="1">
      <formula>OR($AH$52&gt;0,$AJ$52&gt;0)</formula>
    </cfRule>
  </conditionalFormatting>
  <conditionalFormatting sqref="A119">
    <cfRule type="expression" dxfId="475" priority="175" stopIfTrue="1">
      <formula>OR($AH$53&gt;0,$AJ$53&gt;0)</formula>
    </cfRule>
  </conditionalFormatting>
  <conditionalFormatting sqref="E51 E120">
    <cfRule type="expression" dxfId="474" priority="176" stopIfTrue="1">
      <formula>$AC$54&gt;0</formula>
    </cfRule>
  </conditionalFormatting>
  <conditionalFormatting sqref="F51 F120">
    <cfRule type="expression" dxfId="473" priority="177" stopIfTrue="1">
      <formula>$AD$54&gt;0</formula>
    </cfRule>
  </conditionalFormatting>
  <conditionalFormatting sqref="G51 G120">
    <cfRule type="expression" dxfId="472" priority="178" stopIfTrue="1">
      <formula>$AE$54&gt;0</formula>
    </cfRule>
  </conditionalFormatting>
  <conditionalFormatting sqref="H51 H120">
    <cfRule type="expression" dxfId="471" priority="179" stopIfTrue="1">
      <formula>$AF$54&gt;0</formula>
    </cfRule>
  </conditionalFormatting>
  <conditionalFormatting sqref="I51 I120">
    <cfRule type="expression" dxfId="470" priority="180" stopIfTrue="1">
      <formula>$AG$54&gt;0</formula>
    </cfRule>
  </conditionalFormatting>
  <conditionalFormatting sqref="A30">
    <cfRule type="expression" dxfId="469" priority="187" stopIfTrue="1">
      <formula>OR($AH$42&gt;0,$AJ$42&gt;0)</formula>
    </cfRule>
  </conditionalFormatting>
  <conditionalFormatting sqref="A12">
    <cfRule type="expression" dxfId="468" priority="192" stopIfTrue="1">
      <formula>OR($AH$32&gt;0,$AJ$32&gt;0)</formula>
    </cfRule>
  </conditionalFormatting>
  <conditionalFormatting sqref="D8">
    <cfRule type="expression" dxfId="467" priority="49" stopIfTrue="1">
      <formula>$AJ$8&gt;0</formula>
    </cfRule>
  </conditionalFormatting>
  <conditionalFormatting sqref="D12">
    <cfRule type="expression" dxfId="466" priority="48" stopIfTrue="1">
      <formula>$AJ$32&gt;0</formula>
    </cfRule>
  </conditionalFormatting>
  <conditionalFormatting sqref="D9">
    <cfRule type="expression" dxfId="465" priority="47" stopIfTrue="1">
      <formula>$AJ$9&gt;0</formula>
    </cfRule>
  </conditionalFormatting>
  <conditionalFormatting sqref="D10">
    <cfRule type="expression" dxfId="464" priority="46" stopIfTrue="1">
      <formula>$AJ$10&gt;0</formula>
    </cfRule>
  </conditionalFormatting>
  <conditionalFormatting sqref="D11">
    <cfRule type="expression" dxfId="463" priority="45" stopIfTrue="1">
      <formula>$AJ$11&gt;0</formula>
    </cfRule>
  </conditionalFormatting>
  <conditionalFormatting sqref="D30">
    <cfRule type="expression" dxfId="462" priority="44" stopIfTrue="1">
      <formula>$AJ$42&gt;0</formula>
    </cfRule>
  </conditionalFormatting>
  <conditionalFormatting sqref="D28">
    <cfRule type="expression" dxfId="461" priority="43" stopIfTrue="1">
      <formula>$AJ$34&gt;0</formula>
    </cfRule>
  </conditionalFormatting>
  <conditionalFormatting sqref="D29">
    <cfRule type="expression" dxfId="460" priority="42" stopIfTrue="1">
      <formula>$AJ$35&gt;0</formula>
    </cfRule>
  </conditionalFormatting>
  <conditionalFormatting sqref="D86">
    <cfRule type="expression" dxfId="459" priority="41" stopIfTrue="1">
      <formula>$AJ$15&gt;0</formula>
    </cfRule>
  </conditionalFormatting>
  <conditionalFormatting sqref="D87">
    <cfRule type="expression" dxfId="458" priority="40" stopIfTrue="1">
      <formula>$AJ$16&gt;0</formula>
    </cfRule>
  </conditionalFormatting>
  <conditionalFormatting sqref="D88">
    <cfRule type="expression" dxfId="457" priority="39" stopIfTrue="1">
      <formula>$AJ$17&gt;0</formula>
    </cfRule>
  </conditionalFormatting>
  <conditionalFormatting sqref="D89">
    <cfRule type="expression" dxfId="456" priority="38" stopIfTrue="1">
      <formula>$AJ$18&gt;0</formula>
    </cfRule>
  </conditionalFormatting>
  <conditionalFormatting sqref="D90">
    <cfRule type="expression" dxfId="455" priority="37" stopIfTrue="1">
      <formula>$AJ$19&gt;0</formula>
    </cfRule>
  </conditionalFormatting>
  <conditionalFormatting sqref="D91">
    <cfRule type="expression" dxfId="454" priority="36" stopIfTrue="1">
      <formula>$AJ$20&gt;0</formula>
    </cfRule>
  </conditionalFormatting>
  <conditionalFormatting sqref="D92">
    <cfRule type="expression" dxfId="453" priority="35" stopIfTrue="1">
      <formula>$AJ$21&gt;0</formula>
    </cfRule>
  </conditionalFormatting>
  <conditionalFormatting sqref="D93">
    <cfRule type="expression" dxfId="452" priority="34" stopIfTrue="1">
      <formula>$AJ$22&gt;0</formula>
    </cfRule>
  </conditionalFormatting>
  <conditionalFormatting sqref="D94">
    <cfRule type="expression" dxfId="451" priority="33" stopIfTrue="1">
      <formula>$AJ$23&gt;0</formula>
    </cfRule>
  </conditionalFormatting>
  <conditionalFormatting sqref="D95">
    <cfRule type="expression" dxfId="450" priority="32" stopIfTrue="1">
      <formula>$AJ$24&gt;0</formula>
    </cfRule>
  </conditionalFormatting>
  <conditionalFormatting sqref="D96">
    <cfRule type="expression" dxfId="449" priority="31" stopIfTrue="1">
      <formula>$AJ$25&gt;0</formula>
    </cfRule>
  </conditionalFormatting>
  <conditionalFormatting sqref="D97">
    <cfRule type="expression" dxfId="448" priority="30" stopIfTrue="1">
      <formula>$AJ$26&gt;0</formula>
    </cfRule>
  </conditionalFormatting>
  <conditionalFormatting sqref="D98">
    <cfRule type="expression" dxfId="447" priority="29" stopIfTrue="1">
      <formula>$AJ$27&gt;0</formula>
    </cfRule>
  </conditionalFormatting>
  <conditionalFormatting sqref="D99">
    <cfRule type="expression" dxfId="446" priority="28" stopIfTrue="1">
      <formula>$AJ$28&gt;0</formula>
    </cfRule>
  </conditionalFormatting>
  <conditionalFormatting sqref="D100">
    <cfRule type="expression" dxfId="445" priority="27" stopIfTrue="1">
      <formula>$AJ$29&gt;0</formula>
    </cfRule>
  </conditionalFormatting>
  <conditionalFormatting sqref="D101">
    <cfRule type="expression" dxfId="444" priority="26" stopIfTrue="1">
      <formula>$AJ$30&gt;0</formula>
    </cfRule>
  </conditionalFormatting>
  <conditionalFormatting sqref="D102">
    <cfRule type="expression" dxfId="443" priority="25" stopIfTrue="1">
      <formula>$AJ$32&gt;0</formula>
    </cfRule>
  </conditionalFormatting>
  <conditionalFormatting sqref="D104">
    <cfRule type="expression" dxfId="442" priority="24" stopIfTrue="1">
      <formula>$AJ$37&gt;0</formula>
    </cfRule>
  </conditionalFormatting>
  <conditionalFormatting sqref="D105">
    <cfRule type="expression" dxfId="441" priority="23" stopIfTrue="1">
      <formula>$AJ$38&gt;0</formula>
    </cfRule>
  </conditionalFormatting>
  <conditionalFormatting sqref="D106">
    <cfRule type="expression" dxfId="440" priority="22" stopIfTrue="1">
      <formula>$AJ$39&gt;0</formula>
    </cfRule>
  </conditionalFormatting>
  <conditionalFormatting sqref="D107">
    <cfRule type="expression" dxfId="439" priority="21" stopIfTrue="1">
      <formula>$AJ$40&gt;0</formula>
    </cfRule>
  </conditionalFormatting>
  <conditionalFormatting sqref="D108">
    <cfRule type="expression" dxfId="438" priority="20" stopIfTrue="1">
      <formula>$AJ$41&gt;0</formula>
    </cfRule>
  </conditionalFormatting>
  <conditionalFormatting sqref="D109">
    <cfRule type="expression" dxfId="437" priority="19" stopIfTrue="1">
      <formula>$AJ$42&gt;0</formula>
    </cfRule>
  </conditionalFormatting>
  <conditionalFormatting sqref="D111">
    <cfRule type="expression" dxfId="436" priority="18" stopIfTrue="1">
      <formula>$AJ$45&gt;0</formula>
    </cfRule>
  </conditionalFormatting>
  <conditionalFormatting sqref="D112">
    <cfRule type="expression" dxfId="435" priority="17" stopIfTrue="1">
      <formula>$AJ$46&gt;0</formula>
    </cfRule>
  </conditionalFormatting>
  <conditionalFormatting sqref="D113">
    <cfRule type="expression" dxfId="434" priority="16" stopIfTrue="1">
      <formula>$AJ$47&gt;0</formula>
    </cfRule>
  </conditionalFormatting>
  <conditionalFormatting sqref="D114">
    <cfRule type="expression" dxfId="433" priority="15" stopIfTrue="1">
      <formula>$AJ$48&gt;0</formula>
    </cfRule>
  </conditionalFormatting>
  <conditionalFormatting sqref="D115">
    <cfRule type="expression" dxfId="432" priority="14" stopIfTrue="1">
      <formula>$AJ$49&gt;0</formula>
    </cfRule>
  </conditionalFormatting>
  <conditionalFormatting sqref="D116">
    <cfRule type="expression" dxfId="431" priority="13" stopIfTrue="1">
      <formula>$AJ$50&gt;0</formula>
    </cfRule>
  </conditionalFormatting>
  <conditionalFormatting sqref="D117">
    <cfRule type="expression" dxfId="430" priority="12" stopIfTrue="1">
      <formula>$AJ$51&gt;0</formula>
    </cfRule>
  </conditionalFormatting>
  <conditionalFormatting sqref="D118">
    <cfRule type="expression" dxfId="429" priority="11" stopIfTrue="1">
      <formula>$AJ$52&gt;0</formula>
    </cfRule>
  </conditionalFormatting>
  <conditionalFormatting sqref="D119">
    <cfRule type="expression" dxfId="428" priority="10" stopIfTrue="1">
      <formula>$AJ$53&gt;0</formula>
    </cfRule>
  </conditionalFormatting>
  <conditionalFormatting sqref="D120">
    <cfRule type="expression" dxfId="427" priority="9" stopIfTrue="1">
      <formula>$AJ$54&gt;0</formula>
    </cfRule>
  </conditionalFormatting>
  <conditionalFormatting sqref="A51">
    <cfRule type="expression" dxfId="426" priority="8" stopIfTrue="1">
      <formula>OR($AH$54&gt;0,$AJ$54&gt;0)</formula>
    </cfRule>
  </conditionalFormatting>
  <conditionalFormatting sqref="D51">
    <cfRule type="expression" dxfId="425" priority="7" stopIfTrue="1">
      <formula>$AJ$54&gt;0</formula>
    </cfRule>
  </conditionalFormatting>
  <conditionalFormatting sqref="E12">
    <cfRule type="expression" dxfId="424" priority="6" stopIfTrue="1">
      <formula>$AC$32&gt;0</formula>
    </cfRule>
  </conditionalFormatting>
  <conditionalFormatting sqref="F12">
    <cfRule type="expression" dxfId="423" priority="5" stopIfTrue="1">
      <formula>$AD$32&gt;0</formula>
    </cfRule>
  </conditionalFormatting>
  <conditionalFormatting sqref="G12">
    <cfRule type="expression" dxfId="422" priority="4" stopIfTrue="1">
      <formula>$AE$32&gt;0</formula>
    </cfRule>
  </conditionalFormatting>
  <conditionalFormatting sqref="H12">
    <cfRule type="expression" dxfId="421" priority="3" stopIfTrue="1">
      <formula>$AF$32&gt;0</formula>
    </cfRule>
  </conditionalFormatting>
  <conditionalFormatting sqref="I12">
    <cfRule type="expression" dxfId="420" priority="2" stopIfTrue="1">
      <formula>$AG$32&gt;0</formula>
    </cfRule>
  </conditionalFormatting>
  <conditionalFormatting sqref="D24:D25">
    <cfRule type="expression" dxfId="419" priority="1" stopIfTrue="1">
      <formula>$AJ$31&gt;0</formula>
    </cfRule>
  </conditionalFormatting>
  <printOptions horizontalCentered="1" verticalCentered="1"/>
  <pageMargins left="0.25" right="0.25" top="0.5" bottom="0.5" header="0" footer="0"/>
  <pageSetup scale="65" fitToHeight="0" orientation="portrait" blackAndWhite="1" horizontalDpi="300" verticalDpi="300" r:id="rId1"/>
  <headerFooter alignWithMargins="0"/>
  <rowBreaks count="1" manualBreakCount="1">
    <brk id="120" max="16383" man="1"/>
  </rowBreaks>
  <ignoredErrors>
    <ignoredError sqref="J13 N126 N129 N132 N135 N138 N141 N144 N147 N150 N153 N156 N159 N162 N165 N168 N171 N174 N177 N180 J61 K62 Q60:Q61 N82" formula="1"/>
    <ignoredError sqref="O105:O10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J183"/>
  <sheetViews>
    <sheetView zoomScaleNormal="100" workbookViewId="0">
      <pane ySplit="6" topLeftCell="A7" activePane="bottomLeft" state="frozen"/>
      <selection pane="bottomLeft" sqref="A1:C1"/>
      <selection activeCell="A26" sqref="A26"/>
    </sheetView>
  </sheetViews>
  <sheetFormatPr defaultColWidth="9.140625" defaultRowHeight="12.75"/>
  <cols>
    <col min="1" max="1" width="8.28515625" customWidth="1"/>
    <col min="2" max="2" width="6.7109375" style="223"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5703125" customWidth="1"/>
    <col min="19" max="19" width="9.140625" customWidth="1"/>
    <col min="20" max="26" width="9.140625" hidden="1" customWidth="1"/>
    <col min="27" max="35" width="9.140625" customWidth="1"/>
    <col min="36" max="36" width="4.42578125" customWidth="1"/>
  </cols>
  <sheetData>
    <row r="1" spans="1:36" ht="30.6" customHeight="1">
      <c r="A1" s="729" t="s">
        <v>680</v>
      </c>
      <c r="B1" s="1047"/>
      <c r="C1" s="1028"/>
      <c r="D1" s="729" t="s">
        <v>434</v>
      </c>
      <c r="E1" s="842"/>
      <c r="F1" s="842"/>
      <c r="G1" s="842"/>
      <c r="H1" s="842"/>
      <c r="I1" s="842"/>
      <c r="J1" s="842"/>
      <c r="K1" s="842"/>
      <c r="L1" s="842"/>
      <c r="M1" s="842"/>
      <c r="N1" s="843"/>
      <c r="O1" s="846" t="str">
        <f>Instructions!A42</f>
        <v>ORA Budget Form Revised  10/15/24</v>
      </c>
      <c r="P1" s="847"/>
      <c r="Q1" s="847"/>
    </row>
    <row r="2" spans="1:36" ht="12.95" customHeight="1">
      <c r="A2" s="943" t="s">
        <v>435</v>
      </c>
      <c r="B2" s="1056"/>
      <c r="C2" s="307" t="s">
        <v>436</v>
      </c>
      <c r="D2" s="863" t="str">
        <f>IF(Sponsor!D2 = "", "", Sponsor!D2)</f>
        <v/>
      </c>
      <c r="E2" s="1048"/>
      <c r="F2" s="1048"/>
      <c r="G2" s="1049"/>
      <c r="H2" s="777" t="str">
        <f>UMYr1!H2</f>
        <v>People Soft Project #:</v>
      </c>
      <c r="I2" s="777"/>
      <c r="J2" s="779"/>
      <c r="K2" s="854" t="str">
        <f>IF(Sponsor!H2 = "", "", Sponsor!H2)</f>
        <v/>
      </c>
      <c r="L2" s="866"/>
      <c r="M2" s="567"/>
      <c r="N2" s="558"/>
      <c r="O2" s="859" t="s">
        <v>636</v>
      </c>
      <c r="P2" s="929"/>
      <c r="Q2" s="930"/>
    </row>
    <row r="3" spans="1:36" ht="12.95" customHeight="1">
      <c r="A3" s="944" t="s">
        <v>439</v>
      </c>
      <c r="B3" s="945"/>
      <c r="C3" s="472" t="s">
        <v>440</v>
      </c>
      <c r="D3" s="854" t="str">
        <f>IF(Sponsor!D3 = "", "", Sponsor!D3)</f>
        <v/>
      </c>
      <c r="E3" s="855"/>
      <c r="F3" s="855"/>
      <c r="G3" s="856"/>
      <c r="H3" s="749" t="s">
        <v>637</v>
      </c>
      <c r="I3" s="777"/>
      <c r="J3" s="779"/>
      <c r="K3" s="854" t="str">
        <f>IF(Sponsor!H3 = "", "", Sponsor!H3)</f>
        <v/>
      </c>
      <c r="L3" s="866"/>
      <c r="M3" s="568"/>
      <c r="N3" s="39"/>
      <c r="O3" s="931"/>
      <c r="P3" s="932"/>
      <c r="Q3" s="933"/>
    </row>
    <row r="4" spans="1:36" ht="12.95" customHeight="1">
      <c r="A4" s="864" t="str">
        <f>IF(Sponsor!A4 = "", "", Sponsor!A4)</f>
        <v/>
      </c>
      <c r="B4" s="865"/>
      <c r="C4" s="307" t="s">
        <v>638</v>
      </c>
      <c r="D4" s="854" t="str">
        <f>IF(Sponsor!D4="","",Sponsor!D4)</f>
        <v/>
      </c>
      <c r="E4" s="946"/>
      <c r="F4" s="864" t="str">
        <f>IF(Sponsor!E4="","",Sponsor!E4)</f>
        <v/>
      </c>
      <c r="G4" s="905"/>
      <c r="H4" s="749" t="s">
        <v>639</v>
      </c>
      <c r="I4" s="777"/>
      <c r="J4" s="779"/>
      <c r="K4" s="854" t="str">
        <f>IF(Sponsor!H4 = "", "", Sponsor!H4)</f>
        <v/>
      </c>
      <c r="L4" s="866"/>
      <c r="M4" s="567"/>
      <c r="N4" s="558"/>
      <c r="O4" s="934"/>
      <c r="P4" s="935"/>
      <c r="Q4" s="936"/>
    </row>
    <row r="5" spans="1:36" ht="12.95" customHeight="1">
      <c r="A5" s="938" t="s">
        <v>445</v>
      </c>
      <c r="B5" s="821" t="s">
        <v>446</v>
      </c>
      <c r="C5" s="926" t="s">
        <v>447</v>
      </c>
      <c r="D5" s="797" t="s">
        <v>433</v>
      </c>
      <c r="E5" s="857" t="s">
        <v>640</v>
      </c>
      <c r="F5" s="858"/>
      <c r="G5" s="858"/>
      <c r="H5" s="858"/>
      <c r="I5" s="858"/>
      <c r="J5" s="853"/>
      <c r="K5" s="848" t="s">
        <v>641</v>
      </c>
      <c r="L5" s="852" t="s">
        <v>642</v>
      </c>
      <c r="M5" s="853"/>
      <c r="N5" s="848" t="s">
        <v>643</v>
      </c>
      <c r="O5" s="850" t="s">
        <v>644</v>
      </c>
      <c r="P5" s="850" t="s">
        <v>645</v>
      </c>
      <c r="Q5" s="850" t="s">
        <v>641</v>
      </c>
    </row>
    <row r="6" spans="1:36" ht="12.95" customHeight="1">
      <c r="A6" s="849"/>
      <c r="B6" s="939"/>
      <c r="C6" s="927"/>
      <c r="D6" s="798"/>
      <c r="E6" s="679" t="str">
        <f>UMYr1!E6</f>
        <v/>
      </c>
      <c r="F6" s="679" t="str">
        <f>UMYr1!F6</f>
        <v/>
      </c>
      <c r="G6" s="679" t="str">
        <f>UMYr1!G6</f>
        <v/>
      </c>
      <c r="H6" s="679" t="str">
        <f>UMYr1!H6</f>
        <v/>
      </c>
      <c r="I6" s="679" t="str">
        <f>UMYr1!I6</f>
        <v/>
      </c>
      <c r="J6" s="687" t="s">
        <v>646</v>
      </c>
      <c r="K6" s="849"/>
      <c r="L6" s="19" t="str">
        <f>UMYr1!L6</f>
        <v>3rd Party</v>
      </c>
      <c r="M6" s="20" t="str">
        <f>UMYr1!M6</f>
        <v>Other</v>
      </c>
      <c r="N6" s="849"/>
      <c r="O6" s="851"/>
      <c r="P6" s="851"/>
      <c r="Q6" s="928"/>
    </row>
    <row r="7" spans="1:36" ht="12.95" customHeight="1">
      <c r="A7" s="665" t="str">
        <f>IF(UMYr1!A7&lt;&gt;"",UMYr1!A7,"")</f>
        <v/>
      </c>
      <c r="B7" s="82" t="str">
        <f>IF(UMYr1!B7="","",UMYr1!B7)</f>
        <v>SENIOR PERSONNEL - names and account codes must be entered in Sponsor tab</v>
      </c>
      <c r="C7" s="28"/>
      <c r="D7" s="28"/>
      <c r="E7" s="189"/>
      <c r="F7" s="189"/>
      <c r="G7" s="189"/>
      <c r="H7" s="189"/>
      <c r="I7" s="189"/>
      <c r="J7" s="28"/>
      <c r="K7" s="28"/>
      <c r="L7" s="28"/>
      <c r="M7" s="28"/>
      <c r="N7" s="190"/>
      <c r="O7" s="1051"/>
      <c r="P7" s="1047"/>
      <c r="Q7" s="1028"/>
      <c r="S7" s="200"/>
      <c r="T7" s="197"/>
      <c r="U7" s="443"/>
      <c r="V7" s="443"/>
      <c r="W7" s="443"/>
      <c r="X7" s="443"/>
      <c r="Y7" s="443"/>
      <c r="Z7" s="443"/>
      <c r="AA7" s="63"/>
    </row>
    <row r="8" spans="1:36" ht="12.95" customHeight="1">
      <c r="A8" s="679" t="str">
        <f>IF(UMYr1!A8&lt;&gt;"",UMYr1!A8,"")</f>
        <v/>
      </c>
      <c r="B8" s="679" t="str">
        <f>IF(UMYr1!B8&lt;&gt;"",UMYr1!B8,"")</f>
        <v/>
      </c>
      <c r="C8" s="680" t="str">
        <f>IF(UMYr1!C8="","",UMYr1!C8)</f>
        <v/>
      </c>
      <c r="D8" s="118">
        <f>Sponsor!E8</f>
        <v>0</v>
      </c>
      <c r="E8" s="64"/>
      <c r="F8" s="7"/>
      <c r="G8" s="7"/>
      <c r="H8" s="7"/>
      <c r="I8" s="7"/>
      <c r="J8" s="289">
        <f t="shared" ref="J8:J13" si="0">SUM(E8:I8)</f>
        <v>0</v>
      </c>
      <c r="K8" s="30">
        <f>D8+J8</f>
        <v>0</v>
      </c>
      <c r="L8" s="7"/>
      <c r="M8" s="7"/>
      <c r="N8" s="30">
        <f t="shared" ref="N8:N13" si="1">SUM(K8:M8)</f>
        <v>0</v>
      </c>
      <c r="O8" s="263">
        <f>UMYr1!D8+UMYr2!D8+UMYr3!D8+UMYr4!D8+UMYr5!D8</f>
        <v>0</v>
      </c>
      <c r="P8" s="264">
        <f>UMYr1!J8+UMYr2!J8+UMYr3!J8+UMYr4!J8+UMYr5!J8</f>
        <v>0</v>
      </c>
      <c r="Q8" s="265">
        <f t="shared" ref="Q8:Q13" si="2">O8+P8</f>
        <v>0</v>
      </c>
      <c r="S8" s="197"/>
      <c r="T8" s="197"/>
      <c r="U8" s="146"/>
      <c r="V8" s="146"/>
      <c r="W8" s="146"/>
      <c r="X8" s="146"/>
      <c r="Y8" s="146"/>
      <c r="Z8" s="146"/>
      <c r="AC8" s="198"/>
      <c r="AD8" s="198"/>
      <c r="AE8" s="198"/>
      <c r="AF8" s="198"/>
      <c r="AG8" s="198"/>
      <c r="AH8" s="198"/>
      <c r="AI8" s="235"/>
      <c r="AJ8" s="198"/>
    </row>
    <row r="9" spans="1:36" ht="12.95" customHeight="1">
      <c r="A9" s="679" t="str">
        <f>IF(UMYr1!A9&lt;&gt;"",UMYr1!A9,"")</f>
        <v/>
      </c>
      <c r="B9" s="679" t="str">
        <f>IF(UMYr1!B9&lt;&gt;"",UMYr1!B9,"")</f>
        <v/>
      </c>
      <c r="C9" s="680" t="str">
        <f>IF(UMYr1!C9="","",UMYr1!C9)</f>
        <v/>
      </c>
      <c r="D9" s="111">
        <f>Sponsor!E9</f>
        <v>0</v>
      </c>
      <c r="E9" s="65"/>
      <c r="F9" s="8"/>
      <c r="G9" s="8"/>
      <c r="H9" s="8"/>
      <c r="I9" s="8"/>
      <c r="J9" s="11">
        <f t="shared" si="0"/>
        <v>0</v>
      </c>
      <c r="K9" s="32">
        <f>D9+J9</f>
        <v>0</v>
      </c>
      <c r="L9" s="8"/>
      <c r="M9" s="8"/>
      <c r="N9" s="32">
        <f t="shared" si="1"/>
        <v>0</v>
      </c>
      <c r="O9" s="263">
        <f>UMYr1!D9+UMYr2!D9+UMYr3!D9+UMYr4!D9+UMYr5!D9</f>
        <v>0</v>
      </c>
      <c r="P9" s="264">
        <f>UMYr1!J9+UMYr2!J9+UMYr3!J9+UMYr4!J9+UMYr5!J9</f>
        <v>0</v>
      </c>
      <c r="Q9" s="266">
        <f t="shared" si="2"/>
        <v>0</v>
      </c>
      <c r="S9" s="197"/>
      <c r="T9" s="197"/>
      <c r="U9" s="146"/>
      <c r="V9" s="146"/>
      <c r="W9" s="146"/>
      <c r="X9" s="146"/>
      <c r="Y9" s="146"/>
      <c r="Z9" s="146"/>
      <c r="AC9" s="198"/>
      <c r="AD9" s="198"/>
      <c r="AE9" s="198"/>
      <c r="AF9" s="198"/>
      <c r="AG9" s="198"/>
      <c r="AH9" s="198"/>
      <c r="AJ9" s="198"/>
    </row>
    <row r="10" spans="1:36" ht="12.95" customHeight="1">
      <c r="A10" s="679" t="str">
        <f>IF(UMYr1!A10&lt;&gt;"",UMYr1!A10,"")</f>
        <v/>
      </c>
      <c r="B10" s="679" t="str">
        <f>IF(UMYr1!B10&lt;&gt;"",UMYr1!B10,"")</f>
        <v/>
      </c>
      <c r="C10" s="680" t="str">
        <f>IF(UMYr1!C10="","",UMYr1!C10)</f>
        <v/>
      </c>
      <c r="D10" s="111">
        <f>Sponsor!E10</f>
        <v>0</v>
      </c>
      <c r="E10" s="65"/>
      <c r="F10" s="8"/>
      <c r="G10" s="8"/>
      <c r="H10" s="8"/>
      <c r="I10" s="8"/>
      <c r="J10" s="11">
        <f t="shared" si="0"/>
        <v>0</v>
      </c>
      <c r="K10" s="32">
        <f>D10+J10</f>
        <v>0</v>
      </c>
      <c r="L10" s="8"/>
      <c r="M10" s="8"/>
      <c r="N10" s="32">
        <f t="shared" si="1"/>
        <v>0</v>
      </c>
      <c r="O10" s="263">
        <f>UMYr1!D10+UMYr2!D10+UMYr3!D10+UMYr4!D10+UMYr5!D10</f>
        <v>0</v>
      </c>
      <c r="P10" s="264">
        <f>UMYr1!J10+UMYr2!J10+UMYr3!J10+UMYr4!J10+UMYr5!J10</f>
        <v>0</v>
      </c>
      <c r="Q10" s="266">
        <f t="shared" si="2"/>
        <v>0</v>
      </c>
      <c r="S10" s="197"/>
      <c r="T10" s="197"/>
      <c r="U10" s="146"/>
      <c r="V10" s="146"/>
      <c r="W10" s="146"/>
      <c r="X10" s="146"/>
      <c r="Y10" s="146"/>
      <c r="Z10" s="146"/>
      <c r="AA10" s="146"/>
      <c r="AC10" s="198"/>
      <c r="AD10" s="198"/>
      <c r="AE10" s="198"/>
      <c r="AF10" s="198"/>
      <c r="AG10" s="198"/>
      <c r="AH10" s="198"/>
      <c r="AJ10" s="198"/>
    </row>
    <row r="11" spans="1:36" ht="12.95" customHeight="1">
      <c r="A11" s="679" t="str">
        <f>IF(UMYr1!A11&lt;&gt;"",UMYr1!A11,"")</f>
        <v/>
      </c>
      <c r="B11" s="679" t="str">
        <f>IF(UMYr1!B11&lt;&gt;"",UMYr1!B11,"")</f>
        <v/>
      </c>
      <c r="C11" s="680" t="str">
        <f>IF(UMYr1!C11="","",UMYr1!C11)</f>
        <v/>
      </c>
      <c r="D11" s="111">
        <f>Sponsor!E11</f>
        <v>0</v>
      </c>
      <c r="E11" s="65"/>
      <c r="F11" s="8"/>
      <c r="G11" s="8"/>
      <c r="H11" s="8"/>
      <c r="I11" s="8"/>
      <c r="J11" s="11">
        <f t="shared" si="0"/>
        <v>0</v>
      </c>
      <c r="K11" s="32">
        <f>D11+J11</f>
        <v>0</v>
      </c>
      <c r="L11" s="8"/>
      <c r="M11" s="8"/>
      <c r="N11" s="32">
        <f t="shared" si="1"/>
        <v>0</v>
      </c>
      <c r="O11" s="263">
        <f>UMYr1!D11+UMYr2!D11+UMYr3!D11+UMYr4!D11+UMYr5!D11</f>
        <v>0</v>
      </c>
      <c r="P11" s="264">
        <f>UMYr1!J11+UMYr2!J11+UMYr3!J11+UMYr4!J11+UMYr5!J11</f>
        <v>0</v>
      </c>
      <c r="Q11" s="266">
        <f t="shared" si="2"/>
        <v>0</v>
      </c>
      <c r="S11" s="197"/>
      <c r="T11" s="197"/>
      <c r="U11" s="146"/>
      <c r="V11" s="146"/>
      <c r="W11" s="146"/>
      <c r="X11" s="146"/>
      <c r="Y11" s="146"/>
      <c r="Z11" s="146"/>
      <c r="AC11" s="198"/>
      <c r="AD11" s="198"/>
      <c r="AE11" s="198"/>
      <c r="AF11" s="198"/>
      <c r="AG11" s="198"/>
      <c r="AH11" s="198"/>
      <c r="AI11" s="235"/>
      <c r="AJ11" s="198"/>
    </row>
    <row r="12" spans="1:36" ht="12.95" customHeight="1">
      <c r="A12" s="679" t="str">
        <f>IF(UMYr1!A12&lt;&gt;"",UMYr1!A12,"")</f>
        <v>Below</v>
      </c>
      <c r="B12" s="789" t="s">
        <v>469</v>
      </c>
      <c r="C12" s="763"/>
      <c r="D12" s="25">
        <f>Sponsor!E12</f>
        <v>0</v>
      </c>
      <c r="E12" s="33">
        <f>E102</f>
        <v>0</v>
      </c>
      <c r="F12" s="23">
        <f>F102</f>
        <v>0</v>
      </c>
      <c r="G12" s="23">
        <f>G102</f>
        <v>0</v>
      </c>
      <c r="H12" s="23">
        <f>H102</f>
        <v>0</v>
      </c>
      <c r="I12" s="23">
        <f>I102</f>
        <v>0</v>
      </c>
      <c r="J12" s="11">
        <f t="shared" si="0"/>
        <v>0</v>
      </c>
      <c r="K12" s="25">
        <f>K102</f>
        <v>0</v>
      </c>
      <c r="L12" s="33">
        <f>L102</f>
        <v>0</v>
      </c>
      <c r="M12" s="23">
        <f>M102</f>
        <v>0</v>
      </c>
      <c r="N12" s="25">
        <f t="shared" si="1"/>
        <v>0</v>
      </c>
      <c r="O12" s="263">
        <f>UMYr1!D12+UMYr2!D12+UMYr3!D12+UMYr4!D12+UMYr5!D12</f>
        <v>0</v>
      </c>
      <c r="P12" s="264">
        <f>UMYr1!J12+UMYr2!J12+UMYr3!J12+UMYr4!J12+UMYr5!J12</f>
        <v>0</v>
      </c>
      <c r="Q12" s="266">
        <f t="shared" si="2"/>
        <v>0</v>
      </c>
      <c r="S12" s="197"/>
      <c r="T12" s="197"/>
      <c r="AJ12" s="198"/>
    </row>
    <row r="13" spans="1:36" ht="12.95" customHeight="1">
      <c r="A13" s="156" t="str">
        <f>IF(UMYr1!A13&lt;&gt;"",UMYr1!A13,"")</f>
        <v/>
      </c>
      <c r="B13" s="752" t="s">
        <v>473</v>
      </c>
      <c r="C13" s="753"/>
      <c r="D13" s="26">
        <f>Sponsor!E13</f>
        <v>0</v>
      </c>
      <c r="E13" s="34">
        <f>SUM(E8:E12)</f>
        <v>0</v>
      </c>
      <c r="F13" s="34">
        <f>SUM(F8:F12)</f>
        <v>0</v>
      </c>
      <c r="G13" s="34">
        <f>SUM(G8:G12)</f>
        <v>0</v>
      </c>
      <c r="H13" s="34">
        <f>SUM(H8:H12)</f>
        <v>0</v>
      </c>
      <c r="I13" s="34">
        <f>SUM(I8:I12)</f>
        <v>0</v>
      </c>
      <c r="J13" s="299">
        <f t="shared" si="0"/>
        <v>0</v>
      </c>
      <c r="K13" s="26">
        <f>SUM(K8:K12)</f>
        <v>0</v>
      </c>
      <c r="L13" s="35">
        <f>SUM(L8:L12)</f>
        <v>0</v>
      </c>
      <c r="M13" s="34">
        <f>SUM(M8:M12)</f>
        <v>0</v>
      </c>
      <c r="N13" s="26">
        <f t="shared" si="1"/>
        <v>0</v>
      </c>
      <c r="O13" s="263">
        <f>UMYr1!D13+UMYr2!D13+UMYr3!D13+UMYr4!D13+UMYr5!D13</f>
        <v>0</v>
      </c>
      <c r="P13" s="264">
        <f>UMYr1!J13+UMYr2!J13+UMYr3!J13+UMYr4!J13+UMYr5!J13</f>
        <v>0</v>
      </c>
      <c r="Q13" s="311">
        <f t="shared" si="2"/>
        <v>0</v>
      </c>
      <c r="U13" s="146"/>
      <c r="V13" s="146"/>
      <c r="W13" s="146"/>
      <c r="X13" s="146"/>
      <c r="Y13" s="146"/>
      <c r="Z13" s="146"/>
      <c r="AC13" s="198"/>
      <c r="AD13" s="198"/>
      <c r="AE13" s="198"/>
      <c r="AF13" s="198"/>
      <c r="AG13" s="198"/>
      <c r="AH13" s="198"/>
      <c r="AJ13" s="198"/>
    </row>
    <row r="14" spans="1:36" ht="12.95" customHeight="1">
      <c r="A14" s="156" t="str">
        <f>IF(UMYr1!A14&lt;&gt;"",UMYr1!A14,"")</f>
        <v/>
      </c>
      <c r="B14" s="14" t="str">
        <f>IF(UMYr1!B14="","",UMYr1!B14)</f>
        <v>OTHER PERSONNEL - account codes must be entered in Sponsor tab</v>
      </c>
      <c r="C14" s="28"/>
      <c r="D14" s="28"/>
      <c r="E14" s="28"/>
      <c r="F14" s="28"/>
      <c r="G14" s="28"/>
      <c r="H14" s="28"/>
      <c r="I14" s="28"/>
      <c r="J14" s="28"/>
      <c r="K14" s="28"/>
      <c r="L14" s="28"/>
      <c r="M14" s="28"/>
      <c r="N14" s="190"/>
      <c r="O14" s="1051"/>
      <c r="P14" s="1047"/>
      <c r="Q14" s="1028"/>
      <c r="U14" s="146"/>
      <c r="V14" s="146"/>
      <c r="W14" s="146"/>
      <c r="X14" s="146"/>
      <c r="Y14" s="146"/>
      <c r="Z14" s="146"/>
      <c r="AC14" s="198"/>
      <c r="AD14" s="198"/>
      <c r="AE14" s="198"/>
      <c r="AF14" s="198"/>
      <c r="AG14" s="198"/>
      <c r="AH14" s="198"/>
      <c r="AI14" s="235"/>
      <c r="AJ14" s="198"/>
    </row>
    <row r="15" spans="1:36" ht="12.95" customHeight="1">
      <c r="A15" s="679">
        <f>IF(UMYr1!A15&lt;&gt;"",UMYr1!A15,"")</f>
        <v>51100</v>
      </c>
      <c r="B15" s="679" t="str">
        <f>IF(UMYr1!B15&lt;&gt;"",UMYr1!B15,"")</f>
        <v/>
      </c>
      <c r="C15" s="36" t="str">
        <f>UMYr1!C15</f>
        <v>Post Doctoral Associates</v>
      </c>
      <c r="D15" s="105">
        <f>Sponsor!E15</f>
        <v>0</v>
      </c>
      <c r="E15" s="8"/>
      <c r="F15" s="8"/>
      <c r="G15" s="8"/>
      <c r="H15" s="8"/>
      <c r="I15" s="8"/>
      <c r="J15" s="289">
        <f t="shared" ref="J15:J26" si="3">SUM(E15:I15)</f>
        <v>0</v>
      </c>
      <c r="K15" s="30">
        <f t="shared" ref="K15:K26" si="4">D15+J15</f>
        <v>0</v>
      </c>
      <c r="L15" s="8"/>
      <c r="M15" s="8"/>
      <c r="N15" s="30">
        <f t="shared" ref="N15:N26" si="5">SUM(K15:M15)</f>
        <v>0</v>
      </c>
      <c r="O15" s="263">
        <f>UMYr1!D15+UMYr2!D15+UMYr3!D15+UMYr4!D15+UMYr5!D15</f>
        <v>0</v>
      </c>
      <c r="P15" s="264">
        <f>UMYr1!J15+UMYr2!J15+UMYr3!J15+UMYr4!J15+UMYr5!J15</f>
        <v>0</v>
      </c>
      <c r="Q15" s="265">
        <f t="shared" ref="Q15:Q26" si="6">O15+P15</f>
        <v>0</v>
      </c>
      <c r="U15" s="146"/>
      <c r="V15" s="146"/>
      <c r="W15" s="146"/>
      <c r="X15" s="146"/>
      <c r="Y15" s="146"/>
      <c r="Z15" s="146"/>
      <c r="AA15" s="146"/>
      <c r="AC15" s="198"/>
      <c r="AD15" s="198"/>
      <c r="AE15" s="198"/>
      <c r="AF15" s="198"/>
      <c r="AG15" s="198"/>
      <c r="AH15" s="198"/>
      <c r="AJ15" s="198"/>
    </row>
    <row r="16" spans="1:36" ht="12.95" customHeight="1">
      <c r="A16" s="679">
        <f>IF(UMYr1!A16&lt;&gt;"",UMYr1!A16,"")</f>
        <v>51100</v>
      </c>
      <c r="B16" s="679" t="str">
        <f>IF(UMYr1!B16&lt;&gt;"",UMYr1!B16,"")</f>
        <v/>
      </c>
      <c r="C16" s="27" t="str">
        <f>UMYr1!C16</f>
        <v>Other Professionals</v>
      </c>
      <c r="D16" s="106">
        <f>Sponsor!E16</f>
        <v>0</v>
      </c>
      <c r="E16" s="8"/>
      <c r="F16" s="8"/>
      <c r="G16" s="8"/>
      <c r="H16" s="8"/>
      <c r="I16" s="8"/>
      <c r="J16" s="11">
        <f t="shared" si="3"/>
        <v>0</v>
      </c>
      <c r="K16" s="32">
        <f t="shared" si="4"/>
        <v>0</v>
      </c>
      <c r="L16" s="8"/>
      <c r="M16" s="8"/>
      <c r="N16" s="32">
        <f t="shared" si="5"/>
        <v>0</v>
      </c>
      <c r="O16" s="263">
        <f>UMYr1!D16+UMYr2!D16+UMYr3!D16+UMYr4!D16+UMYr5!D16</f>
        <v>0</v>
      </c>
      <c r="P16" s="264">
        <f>UMYr1!J16+UMYr2!J16+UMYr3!J16+UMYr4!J16+UMYr5!J16</f>
        <v>0</v>
      </c>
      <c r="Q16" s="266">
        <f t="shared" si="6"/>
        <v>0</v>
      </c>
      <c r="U16" s="146"/>
      <c r="V16" s="146"/>
      <c r="W16" s="146"/>
      <c r="X16" s="146"/>
      <c r="Y16" s="146"/>
      <c r="Z16" s="146"/>
      <c r="AC16" s="198"/>
      <c r="AD16" s="198"/>
      <c r="AE16" s="198"/>
      <c r="AF16" s="198"/>
      <c r="AG16" s="198"/>
      <c r="AH16" s="198"/>
      <c r="AJ16" s="198"/>
    </row>
    <row r="17" spans="1:36" ht="12.95" customHeight="1">
      <c r="A17" s="679">
        <f>IF(UMYr1!A17&lt;&gt;"",UMYr1!A17,"")</f>
        <v>53601</v>
      </c>
      <c r="B17" s="679" t="str">
        <f>IF(UMYr1!B17&lt;&gt;"",UMYr1!B17,"")</f>
        <v/>
      </c>
      <c r="C17" s="27" t="str">
        <f>UMYr1!C17</f>
        <v>Graduate Students</v>
      </c>
      <c r="D17" s="106">
        <f>Sponsor!E17</f>
        <v>0</v>
      </c>
      <c r="E17" s="8"/>
      <c r="F17" s="8"/>
      <c r="G17" s="8"/>
      <c r="H17" s="8"/>
      <c r="I17" s="8"/>
      <c r="J17" s="11">
        <f t="shared" si="3"/>
        <v>0</v>
      </c>
      <c r="K17" s="32">
        <f t="shared" si="4"/>
        <v>0</v>
      </c>
      <c r="L17" s="8"/>
      <c r="M17" s="8"/>
      <c r="N17" s="32">
        <f t="shared" si="5"/>
        <v>0</v>
      </c>
      <c r="O17" s="263">
        <f>UMYr1!D17+UMYr2!D17+UMYr3!D17+UMYr4!D17+UMYr5!D17</f>
        <v>0</v>
      </c>
      <c r="P17" s="264">
        <f>UMYr1!J17+UMYr2!J17+UMYr3!J17+UMYr4!J17+UMYr5!J17</f>
        <v>0</v>
      </c>
      <c r="Q17" s="266">
        <f t="shared" si="6"/>
        <v>0</v>
      </c>
      <c r="U17" s="146"/>
      <c r="V17" s="146"/>
      <c r="W17" s="146"/>
      <c r="X17" s="146"/>
      <c r="Y17" s="146"/>
      <c r="Z17" s="146"/>
      <c r="AC17" s="198"/>
      <c r="AD17" s="198"/>
      <c r="AE17" s="198"/>
      <c r="AF17" s="198"/>
      <c r="AG17" s="198"/>
      <c r="AH17" s="198"/>
      <c r="AJ17" s="198"/>
    </row>
    <row r="18" spans="1:36" ht="12.95" customHeight="1">
      <c r="A18" s="679">
        <f>IF(UMYr1!A18&lt;&gt;"",UMYr1!A18,"")</f>
        <v>53300</v>
      </c>
      <c r="B18" s="679" t="str">
        <f>IF(UMYr1!B18&lt;&gt;"",UMYr1!B18,"")</f>
        <v/>
      </c>
      <c r="C18" s="27" t="str">
        <f>UMYr1!C18</f>
        <v>Undergraduate Students</v>
      </c>
      <c r="D18" s="106">
        <f>Sponsor!E18</f>
        <v>0</v>
      </c>
      <c r="E18" s="8"/>
      <c r="F18" s="8"/>
      <c r="G18" s="8"/>
      <c r="H18" s="8"/>
      <c r="I18" s="8"/>
      <c r="J18" s="11">
        <f t="shared" si="3"/>
        <v>0</v>
      </c>
      <c r="K18" s="32">
        <f t="shared" si="4"/>
        <v>0</v>
      </c>
      <c r="L18" s="8"/>
      <c r="M18" s="8"/>
      <c r="N18" s="32">
        <f t="shared" si="5"/>
        <v>0</v>
      </c>
      <c r="O18" s="263">
        <f>UMYr1!D18+UMYr2!D18+UMYr3!D18+UMYr4!D18+UMYr5!D18</f>
        <v>0</v>
      </c>
      <c r="P18" s="264">
        <f>UMYr1!J18+UMYr2!J18+UMYr3!J18+UMYr4!J18+UMYr5!J18</f>
        <v>0</v>
      </c>
      <c r="Q18" s="266">
        <f t="shared" si="6"/>
        <v>0</v>
      </c>
      <c r="U18" s="146"/>
      <c r="V18" s="146"/>
      <c r="W18" s="146"/>
      <c r="X18" s="146"/>
      <c r="Y18" s="146"/>
      <c r="Z18" s="146"/>
      <c r="AC18" s="198"/>
      <c r="AD18" s="198"/>
      <c r="AE18" s="198"/>
      <c r="AF18" s="198"/>
      <c r="AG18" s="198"/>
      <c r="AH18" s="198"/>
      <c r="AJ18" s="198"/>
    </row>
    <row r="19" spans="1:36" ht="12.95" customHeight="1">
      <c r="A19" s="679">
        <f>IF(UMYr1!A19&lt;&gt;"",UMYr1!A19,"")</f>
        <v>52200</v>
      </c>
      <c r="B19" s="679" t="str">
        <f>IF(UMYr1!B19&lt;&gt;"",UMYr1!B19,"")</f>
        <v/>
      </c>
      <c r="C19" s="27" t="str">
        <f>UMYr1!C19</f>
        <v>Regular Classified Employees</v>
      </c>
      <c r="D19" s="106">
        <f>Sponsor!E19</f>
        <v>0</v>
      </c>
      <c r="E19" s="8"/>
      <c r="F19" s="8"/>
      <c r="G19" s="8"/>
      <c r="H19" s="8"/>
      <c r="I19" s="8"/>
      <c r="J19" s="11">
        <f t="shared" si="3"/>
        <v>0</v>
      </c>
      <c r="K19" s="32">
        <f t="shared" si="4"/>
        <v>0</v>
      </c>
      <c r="L19" s="8"/>
      <c r="M19" s="8"/>
      <c r="N19" s="32">
        <f t="shared" si="5"/>
        <v>0</v>
      </c>
      <c r="O19" s="263">
        <f>UMYr1!D19+UMYr2!D19+UMYr3!D19+UMYr4!D19+UMYr5!D19</f>
        <v>0</v>
      </c>
      <c r="P19" s="264">
        <f>UMYr1!J19+UMYr2!J19+UMYr3!J19+UMYr4!J19+UMYr5!J19</f>
        <v>0</v>
      </c>
      <c r="Q19" s="266">
        <f t="shared" si="6"/>
        <v>0</v>
      </c>
      <c r="U19" s="146"/>
      <c r="V19" s="146"/>
      <c r="W19" s="146"/>
      <c r="X19" s="146"/>
      <c r="Y19" s="146"/>
      <c r="Z19" s="146"/>
      <c r="AA19" s="146"/>
      <c r="AC19" s="198"/>
      <c r="AD19" s="198"/>
      <c r="AE19" s="198"/>
      <c r="AF19" s="198"/>
      <c r="AG19" s="198"/>
      <c r="AH19" s="198"/>
      <c r="AJ19" s="198"/>
    </row>
    <row r="20" spans="1:36" ht="12.95" customHeight="1">
      <c r="A20" s="679">
        <f>IF(UMYr1!A20&lt;&gt;"",UMYr1!A20,"")</f>
        <v>51012</v>
      </c>
      <c r="B20" s="679" t="str">
        <f>IF(UMYr1!B20&lt;&gt;"",UMYr1!B20,"")</f>
        <v/>
      </c>
      <c r="C20" s="27" t="str">
        <f>UMYr1!C20</f>
        <v>Non-faculty Temp Employees</v>
      </c>
      <c r="D20" s="106">
        <f>Sponsor!E20</f>
        <v>0</v>
      </c>
      <c r="E20" s="8"/>
      <c r="F20" s="8"/>
      <c r="G20" s="8"/>
      <c r="H20" s="8"/>
      <c r="I20" s="8"/>
      <c r="J20" s="11">
        <f t="shared" si="3"/>
        <v>0</v>
      </c>
      <c r="K20" s="32">
        <f t="shared" si="4"/>
        <v>0</v>
      </c>
      <c r="L20" s="8"/>
      <c r="M20" s="8"/>
      <c r="N20" s="32">
        <f t="shared" si="5"/>
        <v>0</v>
      </c>
      <c r="O20" s="263">
        <f>UMYr1!D20+UMYr2!D20+UMYr3!D20+UMYr4!D20+UMYr5!D20</f>
        <v>0</v>
      </c>
      <c r="P20" s="264">
        <f>UMYr1!J20+UMYr2!J20+UMYr3!J20+UMYr4!J20+UMYr5!J20</f>
        <v>0</v>
      </c>
      <c r="Q20" s="266">
        <f t="shared" si="6"/>
        <v>0</v>
      </c>
      <c r="U20" s="146"/>
      <c r="V20" s="146"/>
      <c r="W20" s="146"/>
      <c r="X20" s="146"/>
      <c r="Y20" s="146"/>
      <c r="Z20" s="146"/>
      <c r="AC20" s="198"/>
      <c r="AD20" s="198"/>
      <c r="AE20" s="198"/>
      <c r="AF20" s="198"/>
      <c r="AG20" s="198"/>
      <c r="AH20" s="198"/>
      <c r="AJ20" s="198"/>
    </row>
    <row r="21" spans="1:36" ht="12.95" customHeight="1">
      <c r="A21" s="679">
        <f>IF(UMYr1!A21&lt;&gt;"",UMYr1!A21,"")</f>
        <v>52012</v>
      </c>
      <c r="B21" s="679" t="str">
        <f>IF(UMYr1!B21&lt;&gt;"",UMYr1!B21,"")</f>
        <v/>
      </c>
      <c r="C21" s="27" t="str">
        <f>UMYr1!C21</f>
        <v>Temp Classified Employees</v>
      </c>
      <c r="D21" s="106">
        <f>Sponsor!E21</f>
        <v>0</v>
      </c>
      <c r="E21" s="8"/>
      <c r="F21" s="8"/>
      <c r="G21" s="8"/>
      <c r="H21" s="8"/>
      <c r="I21" s="8"/>
      <c r="J21" s="11">
        <f t="shared" si="3"/>
        <v>0</v>
      </c>
      <c r="K21" s="32">
        <f t="shared" si="4"/>
        <v>0</v>
      </c>
      <c r="L21" s="8"/>
      <c r="M21" s="8"/>
      <c r="N21" s="32">
        <f t="shared" si="5"/>
        <v>0</v>
      </c>
      <c r="O21" s="263">
        <f>UMYr1!D21+UMYr2!D21+UMYr3!D21+UMYr4!D21+UMYr5!D21</f>
        <v>0</v>
      </c>
      <c r="P21" s="264">
        <f>UMYr1!J21+UMYr2!J21+UMYr3!J21+UMYr4!J21+UMYr5!J21</f>
        <v>0</v>
      </c>
      <c r="Q21" s="266">
        <f t="shared" si="6"/>
        <v>0</v>
      </c>
      <c r="U21" s="146"/>
      <c r="V21" s="146"/>
      <c r="W21" s="146"/>
      <c r="X21" s="146"/>
      <c r="Y21" s="146"/>
      <c r="Z21" s="146"/>
      <c r="AC21" s="198"/>
      <c r="AD21" s="198"/>
      <c r="AE21" s="198"/>
      <c r="AF21" s="198"/>
      <c r="AG21" s="198"/>
      <c r="AH21" s="198"/>
      <c r="AJ21" s="198"/>
    </row>
    <row r="22" spans="1:36" ht="12.95" customHeight="1">
      <c r="A22" s="679" t="str">
        <f>IF(UMYr1!A22&lt;&gt;"",UMYr1!A22,"")</f>
        <v/>
      </c>
      <c r="B22" s="679" t="str">
        <f>IF(UMYr1!B22&lt;&gt;"",UMYr1!B22,"")</f>
        <v>****</v>
      </c>
      <c r="C22" s="27" t="str">
        <f>UMYr1!C22</f>
        <v>Other</v>
      </c>
      <c r="D22" s="106">
        <f>Sponsor!E22</f>
        <v>0</v>
      </c>
      <c r="E22" s="8"/>
      <c r="F22" s="8"/>
      <c r="G22" s="8"/>
      <c r="H22" s="8"/>
      <c r="I22" s="8"/>
      <c r="J22" s="11">
        <f t="shared" si="3"/>
        <v>0</v>
      </c>
      <c r="K22" s="32">
        <f t="shared" si="4"/>
        <v>0</v>
      </c>
      <c r="L22" s="8"/>
      <c r="M22" s="8"/>
      <c r="N22" s="32">
        <f t="shared" si="5"/>
        <v>0</v>
      </c>
      <c r="O22" s="263">
        <f>UMYr1!D22+UMYr2!D22+UMYr3!D22+UMYr4!D22+UMYr5!D22</f>
        <v>0</v>
      </c>
      <c r="P22" s="264">
        <f>UMYr1!J22+UMYr2!J22+UMYr3!J22+UMYr4!J22+UMYr5!J22</f>
        <v>0</v>
      </c>
      <c r="Q22" s="266">
        <f t="shared" si="6"/>
        <v>0</v>
      </c>
      <c r="U22" s="146"/>
      <c r="V22" s="146"/>
      <c r="W22" s="146"/>
      <c r="X22" s="146"/>
      <c r="Y22" s="146"/>
      <c r="Z22" s="146"/>
      <c r="AC22" s="198"/>
      <c r="AD22" s="198"/>
      <c r="AE22" s="198"/>
      <c r="AF22" s="198"/>
      <c r="AG22" s="198"/>
      <c r="AH22" s="198"/>
      <c r="AJ22" s="198"/>
    </row>
    <row r="23" spans="1:36" ht="12.95" customHeight="1">
      <c r="A23" s="156" t="str">
        <f>IF(UMYr1!A23&lt;&gt;"",UMYr1!A23,"")</f>
        <v/>
      </c>
      <c r="B23" s="789" t="s">
        <v>494</v>
      </c>
      <c r="C23" s="763"/>
      <c r="D23" s="25">
        <f>Sponsor!E23</f>
        <v>0</v>
      </c>
      <c r="E23" s="23">
        <f>SUM(E15:E22)+E13</f>
        <v>0</v>
      </c>
      <c r="F23" s="23">
        <f>SUM(F15:F22)+F13</f>
        <v>0</v>
      </c>
      <c r="G23" s="23">
        <f>SUM(G15:G22)+G13</f>
        <v>0</v>
      </c>
      <c r="H23" s="23">
        <f>SUM(H15:H22)+H13</f>
        <v>0</v>
      </c>
      <c r="I23" s="23">
        <f>SUM(I15:I22)+I13</f>
        <v>0</v>
      </c>
      <c r="J23" s="11">
        <f t="shared" si="3"/>
        <v>0</v>
      </c>
      <c r="K23" s="32">
        <f t="shared" si="4"/>
        <v>0</v>
      </c>
      <c r="L23" s="23">
        <f>SUM(L15:L22)+L13</f>
        <v>0</v>
      </c>
      <c r="M23" s="23">
        <f>SUM(M15:M22)+M13</f>
        <v>0</v>
      </c>
      <c r="N23" s="25">
        <f t="shared" si="5"/>
        <v>0</v>
      </c>
      <c r="O23" s="263">
        <f>UMYr1!D23+UMYr2!D23+UMYr3!D23+UMYr4!D23+UMYr5!D23</f>
        <v>0</v>
      </c>
      <c r="P23" s="264">
        <f>UMYr1!J23+UMYr2!J23+UMYr3!J23+UMYr4!J23+UMYr5!J23</f>
        <v>0</v>
      </c>
      <c r="Q23" s="266">
        <f t="shared" si="6"/>
        <v>0</v>
      </c>
      <c r="U23" s="146"/>
      <c r="V23" s="146"/>
      <c r="W23" s="146"/>
      <c r="X23" s="146"/>
      <c r="Y23" s="146"/>
      <c r="Z23" s="146"/>
      <c r="AA23" s="146"/>
      <c r="AC23" s="198"/>
      <c r="AD23" s="198"/>
      <c r="AE23" s="198"/>
      <c r="AF23" s="198"/>
      <c r="AG23" s="198"/>
      <c r="AH23" s="198"/>
      <c r="AJ23" s="198"/>
    </row>
    <row r="24" spans="1:36" ht="12.95" customHeight="1">
      <c r="A24" s="679">
        <f>IF(UMYr1!A24&lt;&gt;"",UMYr1!A24,"")</f>
        <v>54800</v>
      </c>
      <c r="B24" s="679" t="str">
        <f>IF(UMYr1!B24&lt;&gt;"",UMYr1!B24,"")</f>
        <v/>
      </c>
      <c r="C24" s="37" t="s">
        <v>496</v>
      </c>
      <c r="D24" s="25">
        <f>Sponsor!E24</f>
        <v>0</v>
      </c>
      <c r="E24" s="23">
        <f t="shared" ref="E24:I25" si="7">E73</f>
        <v>0</v>
      </c>
      <c r="F24" s="23">
        <f t="shared" si="7"/>
        <v>0</v>
      </c>
      <c r="G24" s="23">
        <f t="shared" si="7"/>
        <v>0</v>
      </c>
      <c r="H24" s="23">
        <f t="shared" si="7"/>
        <v>0</v>
      </c>
      <c r="I24" s="23">
        <f t="shared" si="7"/>
        <v>0</v>
      </c>
      <c r="J24" s="11">
        <f t="shared" si="3"/>
        <v>0</v>
      </c>
      <c r="K24" s="32">
        <f t="shared" si="4"/>
        <v>0</v>
      </c>
      <c r="L24" s="23">
        <f>L73</f>
        <v>0</v>
      </c>
      <c r="M24" s="23">
        <f>M73</f>
        <v>0</v>
      </c>
      <c r="N24" s="25">
        <f t="shared" si="5"/>
        <v>0</v>
      </c>
      <c r="O24" s="263">
        <f>UMYr1!D24+UMYr2!D24+UMYr3!D24+UMYr4!D24+UMYr5!D24</f>
        <v>0</v>
      </c>
      <c r="P24" s="264">
        <f>UMYr1!J24+UMYr2!J24+UMYr3!J24+UMYr4!J24+UMYr5!J24</f>
        <v>0</v>
      </c>
      <c r="Q24" s="266">
        <f t="shared" si="6"/>
        <v>0</v>
      </c>
      <c r="U24" s="146"/>
      <c r="V24" s="146"/>
      <c r="W24" s="146"/>
      <c r="X24" s="146"/>
      <c r="Y24" s="146"/>
      <c r="Z24" s="146"/>
      <c r="AC24" s="198"/>
      <c r="AD24" s="198"/>
      <c r="AE24" s="198"/>
      <c r="AF24" s="198"/>
      <c r="AG24" s="198"/>
      <c r="AH24" s="198"/>
      <c r="AJ24" s="198"/>
    </row>
    <row r="25" spans="1:36" ht="12.95" customHeight="1">
      <c r="A25" s="679">
        <f>IF(UMYr1!A25&lt;&gt;"",UMYr1!A25,"")</f>
        <v>54810</v>
      </c>
      <c r="B25" s="679" t="str">
        <f>IF(UMYr1!B25&lt;&gt;"",UMYr1!B25,"")</f>
        <v/>
      </c>
      <c r="C25" s="208" t="s">
        <v>650</v>
      </c>
      <c r="D25" s="25">
        <f>Sponsor!E25</f>
        <v>0</v>
      </c>
      <c r="E25" s="23">
        <f t="shared" si="7"/>
        <v>0</v>
      </c>
      <c r="F25" s="23">
        <f t="shared" si="7"/>
        <v>0</v>
      </c>
      <c r="G25" s="23">
        <f t="shared" si="7"/>
        <v>0</v>
      </c>
      <c r="H25" s="23">
        <f t="shared" si="7"/>
        <v>0</v>
      </c>
      <c r="I25" s="23">
        <f t="shared" si="7"/>
        <v>0</v>
      </c>
      <c r="J25" s="11">
        <f t="shared" si="3"/>
        <v>0</v>
      </c>
      <c r="K25" s="32">
        <f t="shared" si="4"/>
        <v>0</v>
      </c>
      <c r="L25" s="23">
        <f>L74</f>
        <v>0</v>
      </c>
      <c r="M25" s="23">
        <f>M74</f>
        <v>0</v>
      </c>
      <c r="N25" s="25">
        <f t="shared" si="5"/>
        <v>0</v>
      </c>
      <c r="O25" s="263">
        <f>UMYr1!D25+UMYr2!D25+UMYr3!D25+UMYr4!D25+UMYr5!D25</f>
        <v>0</v>
      </c>
      <c r="P25" s="264">
        <f>UMYr1!J25+UMYr2!J25+UMYr3!J25+UMYr4!J25+UMYr5!J25</f>
        <v>0</v>
      </c>
      <c r="Q25" s="266">
        <f t="shared" si="6"/>
        <v>0</v>
      </c>
      <c r="U25" s="146"/>
      <c r="V25" s="146"/>
      <c r="W25" s="146"/>
      <c r="X25" s="146"/>
      <c r="Y25" s="146"/>
      <c r="Z25" s="146"/>
      <c r="AC25" s="198"/>
      <c r="AD25" s="198"/>
      <c r="AE25" s="198"/>
      <c r="AF25" s="198"/>
      <c r="AG25" s="198"/>
      <c r="AH25" s="198"/>
      <c r="AJ25" s="198"/>
    </row>
    <row r="26" spans="1:36" ht="12.95" customHeight="1">
      <c r="A26" s="156" t="str">
        <f>IF(UMYr1!A26&lt;&gt;"",UMYr1!A26,"")</f>
        <v/>
      </c>
      <c r="B26" s="817" t="s">
        <v>502</v>
      </c>
      <c r="C26" s="775"/>
      <c r="D26" s="26">
        <f>Sponsor!E26</f>
        <v>0</v>
      </c>
      <c r="E26" s="34">
        <f>SUM(E23:E25)</f>
        <v>0</v>
      </c>
      <c r="F26" s="34">
        <f>SUM(F23:F25)</f>
        <v>0</v>
      </c>
      <c r="G26" s="34">
        <f>SUM(G23:G25)</f>
        <v>0</v>
      </c>
      <c r="H26" s="34">
        <f>SUM(H23:H25)</f>
        <v>0</v>
      </c>
      <c r="I26" s="34">
        <f>SUM(I23:I25)</f>
        <v>0</v>
      </c>
      <c r="J26" s="299">
        <f t="shared" si="3"/>
        <v>0</v>
      </c>
      <c r="K26" s="32">
        <f t="shared" si="4"/>
        <v>0</v>
      </c>
      <c r="L26" s="34">
        <f>SUM(L23:L25)</f>
        <v>0</v>
      </c>
      <c r="M26" s="34">
        <f>SUM(M23:M25)</f>
        <v>0</v>
      </c>
      <c r="N26" s="26">
        <f t="shared" si="5"/>
        <v>0</v>
      </c>
      <c r="O26" s="263">
        <f>UMYr1!D26+UMYr2!D26+UMYr3!D26+UMYr4!D26+UMYr5!D26</f>
        <v>0</v>
      </c>
      <c r="P26" s="264">
        <f>UMYr1!J26+UMYr2!J26+UMYr3!J26+UMYr4!J26+UMYr5!J26</f>
        <v>0</v>
      </c>
      <c r="Q26" s="311">
        <f t="shared" si="6"/>
        <v>0</v>
      </c>
      <c r="U26" s="146"/>
      <c r="V26" s="146"/>
      <c r="W26" s="146"/>
      <c r="X26" s="146"/>
      <c r="Y26" s="146"/>
      <c r="Z26" s="146"/>
      <c r="AC26" s="198"/>
      <c r="AD26" s="198"/>
      <c r="AE26" s="198"/>
      <c r="AF26" s="198"/>
      <c r="AG26" s="198"/>
      <c r="AH26" s="198"/>
      <c r="AJ26" s="198"/>
    </row>
    <row r="27" spans="1:36" ht="12.95" customHeight="1">
      <c r="A27" s="156" t="str">
        <f>IF(UMYr1!A27&lt;&gt;"",UMYr1!A27,"")</f>
        <v/>
      </c>
      <c r="B27" s="688" t="str">
        <f>IF(UMYr1!B27="","",UMYr1!B27)</f>
        <v>CAPITAL EQUIPMENT OR CONSTRUCTION - descriptions and account codes must be entered in Sponsor tab</v>
      </c>
      <c r="C27" s="28"/>
      <c r="D27" s="28"/>
      <c r="E27" s="28"/>
      <c r="F27" s="28"/>
      <c r="G27" s="28"/>
      <c r="H27" s="28"/>
      <c r="I27" s="28"/>
      <c r="J27" s="28"/>
      <c r="K27" s="28"/>
      <c r="L27" s="28"/>
      <c r="M27" s="28"/>
      <c r="N27" s="190"/>
      <c r="O27" s="1051"/>
      <c r="P27" s="1047"/>
      <c r="Q27" s="1028"/>
      <c r="U27" s="146"/>
      <c r="V27" s="146"/>
      <c r="W27" s="146"/>
      <c r="X27" s="146"/>
      <c r="Y27" s="146"/>
      <c r="Z27" s="146"/>
      <c r="AA27" s="146"/>
      <c r="AC27" s="198"/>
      <c r="AD27" s="198"/>
      <c r="AE27" s="198"/>
      <c r="AF27" s="198"/>
      <c r="AG27" s="198"/>
      <c r="AH27" s="198"/>
      <c r="AJ27" s="198"/>
    </row>
    <row r="28" spans="1:36" ht="12.95" customHeight="1">
      <c r="A28" s="679" t="str">
        <f>IF(UMYr1!A28&lt;&gt;"",UMYr1!A28,"")</f>
        <v/>
      </c>
      <c r="B28" s="679" t="str">
        <f>IF(UMYr1!B28&lt;&gt;"",UMYr1!B28,"")</f>
        <v/>
      </c>
      <c r="C28" s="680" t="str">
        <f>UMYr1!C28</f>
        <v/>
      </c>
      <c r="D28" s="107">
        <f>Sponsor!E28</f>
        <v>0</v>
      </c>
      <c r="E28" s="64"/>
      <c r="F28" s="7"/>
      <c r="G28" s="7"/>
      <c r="H28" s="7"/>
      <c r="I28" s="7"/>
      <c r="J28" s="312">
        <f>SUM(E28:I28)</f>
        <v>0</v>
      </c>
      <c r="K28" s="32">
        <f>D28+J28</f>
        <v>0</v>
      </c>
      <c r="L28" s="9"/>
      <c r="M28" s="9"/>
      <c r="N28" s="24">
        <f>SUM(K28:M28)</f>
        <v>0</v>
      </c>
      <c r="O28" s="263">
        <f>UMYr1!D28+UMYr2!D28+UMYr3!D28+UMYr4!D28+UMYr5!D28</f>
        <v>0</v>
      </c>
      <c r="P28" s="264">
        <f>UMYr1!J28+UMYr2!J28+UMYr3!J28+UMYr4!J28+UMYr5!J28</f>
        <v>0</v>
      </c>
      <c r="Q28" s="265">
        <f>O28+P28</f>
        <v>0</v>
      </c>
      <c r="AC28" s="198"/>
      <c r="AD28" s="198"/>
      <c r="AE28" s="198"/>
      <c r="AF28" s="198"/>
      <c r="AG28" s="198"/>
      <c r="AH28" s="198"/>
      <c r="AJ28" s="198"/>
    </row>
    <row r="29" spans="1:36" ht="12.95" customHeight="1">
      <c r="A29" s="679" t="str">
        <f>IF(UMYr1!A29&lt;&gt;"",UMYr1!A29,"")</f>
        <v/>
      </c>
      <c r="B29" s="679" t="str">
        <f>IF(UMYr1!B29&lt;&gt;"",UMYr1!B29,"")</f>
        <v/>
      </c>
      <c r="C29" s="680" t="str">
        <f>UMYr1!C29</f>
        <v/>
      </c>
      <c r="D29" s="108">
        <f>Sponsor!E29</f>
        <v>0</v>
      </c>
      <c r="E29" s="65"/>
      <c r="F29" s="8"/>
      <c r="G29" s="8"/>
      <c r="H29" s="8"/>
      <c r="I29" s="8"/>
      <c r="J29" s="297">
        <f>SUM(E29:I29)</f>
        <v>0</v>
      </c>
      <c r="K29" s="32">
        <f>D29+J29</f>
        <v>0</v>
      </c>
      <c r="L29" s="10"/>
      <c r="M29" s="9"/>
      <c r="N29" s="25">
        <f>SUM(K29:M29)</f>
        <v>0</v>
      </c>
      <c r="O29" s="263">
        <f>UMYr1!D29+UMYr2!D29+UMYr3!D29+UMYr4!D29+UMYr5!D29</f>
        <v>0</v>
      </c>
      <c r="P29" s="264">
        <f>UMYr1!J29+UMYr2!J29+UMYr3!J29+UMYr4!J29+UMYr5!J29</f>
        <v>0</v>
      </c>
      <c r="Q29" s="266">
        <f>O29+P29</f>
        <v>0</v>
      </c>
      <c r="AC29" s="198"/>
      <c r="AD29" s="198"/>
      <c r="AE29" s="198"/>
      <c r="AF29" s="198"/>
      <c r="AG29" s="198"/>
      <c r="AH29" s="198"/>
      <c r="AJ29" s="198"/>
    </row>
    <row r="30" spans="1:36" ht="12.95" customHeight="1">
      <c r="A30" s="681" t="s">
        <v>468</v>
      </c>
      <c r="B30" s="789" t="s">
        <v>511</v>
      </c>
      <c r="C30" s="763"/>
      <c r="D30" s="25">
        <f>Sponsor!E30</f>
        <v>0</v>
      </c>
      <c r="E30" s="33">
        <f>E109</f>
        <v>0</v>
      </c>
      <c r="F30" s="23">
        <f>F109</f>
        <v>0</v>
      </c>
      <c r="G30" s="23">
        <f>G109</f>
        <v>0</v>
      </c>
      <c r="H30" s="23">
        <f>H109</f>
        <v>0</v>
      </c>
      <c r="I30" s="23">
        <f>I109</f>
        <v>0</v>
      </c>
      <c r="J30" s="11">
        <f>SUM(E30:I30)</f>
        <v>0</v>
      </c>
      <c r="K30" s="32">
        <f>D30+J30</f>
        <v>0</v>
      </c>
      <c r="L30" s="23">
        <f>L109</f>
        <v>0</v>
      </c>
      <c r="M30" s="23">
        <f>M109</f>
        <v>0</v>
      </c>
      <c r="N30" s="25">
        <f>SUM(K30:M30)</f>
        <v>0</v>
      </c>
      <c r="O30" s="263">
        <f>UMYr1!D30+UMYr2!D30+UMYr3!D30+UMYr4!D30+UMYr5!D30</f>
        <v>0</v>
      </c>
      <c r="P30" s="264">
        <f>UMYr1!J30+UMYr2!J30+UMYr3!J30+UMYr4!J30+UMYr5!J30</f>
        <v>0</v>
      </c>
      <c r="Q30" s="266">
        <f>O30+P30</f>
        <v>0</v>
      </c>
      <c r="AC30" s="198"/>
      <c r="AD30" s="198"/>
      <c r="AE30" s="198"/>
      <c r="AF30" s="198"/>
      <c r="AG30" s="198"/>
      <c r="AH30" s="198"/>
      <c r="AJ30" s="198"/>
    </row>
    <row r="31" spans="1:36" ht="12.95" customHeight="1">
      <c r="A31" s="156" t="str">
        <f>IF(UMYr1!A31&lt;&gt;"",UMYr1!A31,"")</f>
        <v/>
      </c>
      <c r="B31" s="805" t="s">
        <v>514</v>
      </c>
      <c r="C31" s="753"/>
      <c r="D31" s="26">
        <f>Sponsor!E31</f>
        <v>0</v>
      </c>
      <c r="E31" s="34">
        <f>SUM(E28:E30)</f>
        <v>0</v>
      </c>
      <c r="F31" s="34">
        <f>SUM(F28:F30)</f>
        <v>0</v>
      </c>
      <c r="G31" s="34">
        <f>SUM(G28:G30)</f>
        <v>0</v>
      </c>
      <c r="H31" s="34">
        <f>SUM(H28:H30)</f>
        <v>0</v>
      </c>
      <c r="I31" s="34">
        <f>SUM(I28:I30)</f>
        <v>0</v>
      </c>
      <c r="J31" s="299">
        <f>SUM(E31:I31)</f>
        <v>0</v>
      </c>
      <c r="K31" s="32">
        <f>D31+J31</f>
        <v>0</v>
      </c>
      <c r="L31" s="34">
        <f>SUM(L28:L30)</f>
        <v>0</v>
      </c>
      <c r="M31" s="34">
        <f>SUM(M28:M30)</f>
        <v>0</v>
      </c>
      <c r="N31" s="26">
        <f>SUM(K31:M31)</f>
        <v>0</v>
      </c>
      <c r="O31" s="263">
        <f>UMYr1!D31+UMYr2!D31+UMYr3!D31+UMYr4!D31+UMYr5!D31</f>
        <v>0</v>
      </c>
      <c r="P31" s="264">
        <f>UMYr1!J31+UMYr2!J31+UMYr3!J31+UMYr4!J31+UMYr5!J31</f>
        <v>0</v>
      </c>
      <c r="Q31" s="311">
        <f>O31+P31</f>
        <v>0</v>
      </c>
      <c r="AC31" s="198"/>
      <c r="AD31" s="198"/>
      <c r="AE31" s="198"/>
      <c r="AF31" s="198"/>
      <c r="AG31" s="198"/>
      <c r="AH31" s="198"/>
      <c r="AI31" s="235"/>
      <c r="AJ31" s="198"/>
    </row>
    <row r="32" spans="1:36" ht="12.95" customHeight="1">
      <c r="A32" s="156" t="str">
        <f>IF(UMYr1!A32&lt;&gt;"",UMYr1!A32,"")</f>
        <v/>
      </c>
      <c r="B32" s="14" t="str">
        <f>IF(UMYr1!B32="","",UMYr1!B32)</f>
        <v>TRAVEL - account codes must be entered in Sponsor tab</v>
      </c>
      <c r="C32" s="28"/>
      <c r="D32" s="28"/>
      <c r="E32" s="28"/>
      <c r="F32" s="28"/>
      <c r="G32" s="28"/>
      <c r="H32" s="28"/>
      <c r="I32" s="28"/>
      <c r="J32" s="28"/>
      <c r="K32" s="28"/>
      <c r="L32" s="28"/>
      <c r="M32" s="28"/>
      <c r="N32" s="190"/>
      <c r="O32" s="1051"/>
      <c r="P32" s="1047"/>
      <c r="Q32" s="1028"/>
      <c r="AC32" s="198"/>
      <c r="AD32" s="198"/>
      <c r="AE32" s="198"/>
      <c r="AF32" s="198"/>
      <c r="AG32" s="198"/>
      <c r="AH32" s="198"/>
      <c r="AI32" s="235"/>
      <c r="AJ32" s="198"/>
    </row>
    <row r="33" spans="1:36" ht="12.95" customHeight="1">
      <c r="A33" s="679">
        <f>IF(UMYr1!A33&lt;&gt;"",UMYr1!A33,"")</f>
        <v>61400</v>
      </c>
      <c r="B33" s="679" t="str">
        <f>IF(UMYr1!B33&lt;&gt;"",UMYr1!B33,"")</f>
        <v/>
      </c>
      <c r="C33" s="39" t="s">
        <v>518</v>
      </c>
      <c r="D33" s="105">
        <f>Sponsor!E33</f>
        <v>0</v>
      </c>
      <c r="E33" s="8"/>
      <c r="F33" s="8"/>
      <c r="G33" s="8"/>
      <c r="H33" s="8"/>
      <c r="I33" s="8"/>
      <c r="J33" s="289">
        <f>SUM(E33:I33)</f>
        <v>0</v>
      </c>
      <c r="K33" s="32">
        <f>D33+J33</f>
        <v>0</v>
      </c>
      <c r="L33" s="8"/>
      <c r="M33" s="8"/>
      <c r="N33" s="30">
        <f>SUM(K33:M33)</f>
        <v>0</v>
      </c>
      <c r="O33" s="263">
        <f>UMYr1!D33+UMYr2!D33+UMYr3!D33+UMYr4!D33+UMYr5!D33</f>
        <v>0</v>
      </c>
      <c r="P33" s="264">
        <f>UMYr1!J33+UMYr2!J33+UMYr3!J33+UMYr4!J33+UMYr5!J33</f>
        <v>0</v>
      </c>
      <c r="Q33" s="265">
        <f>O33+P33</f>
        <v>0</v>
      </c>
      <c r="AC33" s="198"/>
      <c r="AD33" s="198"/>
      <c r="AE33" s="198"/>
      <c r="AF33" s="198"/>
      <c r="AG33" s="198"/>
      <c r="AH33" s="198"/>
      <c r="AJ33" s="198"/>
    </row>
    <row r="34" spans="1:36" ht="12.95" customHeight="1">
      <c r="A34" s="679">
        <f>IF(UMYr1!A34&lt;&gt;"",UMYr1!A34,"")</f>
        <v>61500</v>
      </c>
      <c r="B34" s="679" t="str">
        <f>IF(UMYr1!B34&lt;&gt;"",UMYr1!B34,"")</f>
        <v/>
      </c>
      <c r="C34" s="27" t="s">
        <v>519</v>
      </c>
      <c r="D34" s="106">
        <f>Sponsor!E34</f>
        <v>0</v>
      </c>
      <c r="E34" s="8"/>
      <c r="F34" s="8"/>
      <c r="G34" s="8"/>
      <c r="H34" s="8"/>
      <c r="I34" s="8"/>
      <c r="J34" s="11">
        <f>SUM(E34:I34)</f>
        <v>0</v>
      </c>
      <c r="K34" s="32">
        <f>D34+J34</f>
        <v>0</v>
      </c>
      <c r="L34" s="8"/>
      <c r="M34" s="8"/>
      <c r="N34" s="32">
        <f>SUM(K34:M34)</f>
        <v>0</v>
      </c>
      <c r="O34" s="263">
        <f>UMYr1!D34+UMYr2!D34+UMYr3!D34+UMYr4!D34+UMYr5!D34</f>
        <v>0</v>
      </c>
      <c r="P34" s="264">
        <f>UMYr1!J34+UMYr2!J34+UMYr3!J34+UMYr4!J34+UMYr5!J34</f>
        <v>0</v>
      </c>
      <c r="Q34" s="266">
        <f>O34+P34</f>
        <v>0</v>
      </c>
      <c r="AC34" s="198"/>
      <c r="AD34" s="198"/>
      <c r="AE34" s="198"/>
      <c r="AF34" s="198"/>
      <c r="AG34" s="198"/>
      <c r="AH34" s="198"/>
      <c r="AI34" s="235"/>
      <c r="AJ34" s="198"/>
    </row>
    <row r="35" spans="1:36" ht="12.95" customHeight="1">
      <c r="A35" s="679">
        <f>IF(UMYr1!A35&lt;&gt;"",UMYr1!A35,"")</f>
        <v>61600</v>
      </c>
      <c r="B35" s="679" t="str">
        <f>IF(UMYr1!B35&lt;&gt;"",UMYr1!B35,"")</f>
        <v/>
      </c>
      <c r="C35" s="27" t="s">
        <v>520</v>
      </c>
      <c r="D35" s="106">
        <f>Sponsor!E35</f>
        <v>0</v>
      </c>
      <c r="E35" s="8"/>
      <c r="F35" s="8"/>
      <c r="G35" s="8"/>
      <c r="H35" s="8"/>
      <c r="I35" s="8"/>
      <c r="J35" s="11">
        <f>SUM(E35:I35)</f>
        <v>0</v>
      </c>
      <c r="K35" s="32">
        <f>D35+J35</f>
        <v>0</v>
      </c>
      <c r="L35" s="8"/>
      <c r="M35" s="8"/>
      <c r="N35" s="32">
        <f>SUM(K35:M35)</f>
        <v>0</v>
      </c>
      <c r="O35" s="263">
        <f>UMYr1!D35+UMYr2!D35+UMYr3!D35+UMYr4!D35+UMYr5!D35</f>
        <v>0</v>
      </c>
      <c r="P35" s="264">
        <f>UMYr1!J35+UMYr2!J35+UMYr3!J35+UMYr4!J35+UMYr5!J35</f>
        <v>0</v>
      </c>
      <c r="Q35" s="266">
        <f>O35+P35</f>
        <v>0</v>
      </c>
      <c r="AC35" s="198"/>
      <c r="AD35" s="198"/>
      <c r="AE35" s="198"/>
      <c r="AF35" s="198"/>
      <c r="AG35" s="198"/>
      <c r="AH35" s="198"/>
      <c r="AJ35" s="198"/>
    </row>
    <row r="36" spans="1:36" ht="12.95" customHeight="1">
      <c r="A36" s="156" t="str">
        <f>IF(UMYr1!A36&lt;&gt;"",UMYr1!A36,"")</f>
        <v/>
      </c>
      <c r="B36" s="805" t="s">
        <v>521</v>
      </c>
      <c r="C36" s="753"/>
      <c r="D36" s="41">
        <f>Sponsor!E36</f>
        <v>0</v>
      </c>
      <c r="E36" s="42">
        <f>SUM(E33:E35)</f>
        <v>0</v>
      </c>
      <c r="F36" s="42">
        <f>SUM(F33:F35)</f>
        <v>0</v>
      </c>
      <c r="G36" s="42">
        <f>SUM(G33:G35)</f>
        <v>0</v>
      </c>
      <c r="H36" s="42">
        <f>SUM(H33:H35)</f>
        <v>0</v>
      </c>
      <c r="I36" s="42">
        <f>SUM(I33:I35)</f>
        <v>0</v>
      </c>
      <c r="J36" s="299">
        <f>SUM(E36:I36)</f>
        <v>0</v>
      </c>
      <c r="K36" s="32">
        <f>D36+J36</f>
        <v>0</v>
      </c>
      <c r="L36" s="42">
        <f>SUM(L33:L35)</f>
        <v>0</v>
      </c>
      <c r="M36" s="42">
        <f>SUM(M33:M35)</f>
        <v>0</v>
      </c>
      <c r="N36" s="41">
        <f>SUM(K36:M36)</f>
        <v>0</v>
      </c>
      <c r="O36" s="263">
        <f>UMYr1!D36+UMYr2!D36+UMYr3!D36+UMYr4!D36+UMYr5!D36</f>
        <v>0</v>
      </c>
      <c r="P36" s="264">
        <f>UMYr1!J36+UMYr2!J36+UMYr3!J36+UMYr4!J36+UMYr5!J36</f>
        <v>0</v>
      </c>
      <c r="Q36" s="311">
        <f>O36+P36</f>
        <v>0</v>
      </c>
      <c r="AC36" s="198"/>
      <c r="AD36" s="198"/>
      <c r="AE36" s="198"/>
      <c r="AF36" s="198"/>
      <c r="AG36" s="198"/>
      <c r="AH36" s="198"/>
      <c r="AI36" s="235"/>
      <c r="AJ36" s="198"/>
    </row>
    <row r="37" spans="1:36" ht="12.95" customHeight="1">
      <c r="A37" s="156" t="str">
        <f>IF(UMYr1!A37&lt;&gt;"",UMYr1!A37,"")</f>
        <v/>
      </c>
      <c r="B37" s="14" t="str">
        <f>IF(UMYr1!B37="","",UMYr1!B37)</f>
        <v>PARTICIPANT SUPPORT COSTS - account codes must be entered in Sponsor tab</v>
      </c>
      <c r="C37" s="28"/>
      <c r="D37" s="28"/>
      <c r="E37" s="28"/>
      <c r="F37" s="28"/>
      <c r="G37" s="28"/>
      <c r="H37" s="28"/>
      <c r="I37" s="28"/>
      <c r="J37" s="28"/>
      <c r="K37" s="28"/>
      <c r="L37" s="28"/>
      <c r="M37" s="28"/>
      <c r="N37" s="190"/>
      <c r="O37" s="1051"/>
      <c r="P37" s="1047"/>
      <c r="Q37" s="1028"/>
      <c r="AC37" s="198"/>
      <c r="AD37" s="198"/>
      <c r="AE37" s="198"/>
      <c r="AF37" s="198"/>
      <c r="AG37" s="198"/>
      <c r="AH37" s="198"/>
      <c r="AI37" s="235"/>
      <c r="AJ37" s="198"/>
    </row>
    <row r="38" spans="1:36" ht="12.95" customHeight="1">
      <c r="A38" s="679">
        <f>IF(UMYr1!A38&lt;&gt;"",UMYr1!A38,"")</f>
        <v>60206</v>
      </c>
      <c r="B38" s="679" t="str">
        <f>IF(UMYr1!B38&lt;&gt;"",UMYr1!B38,"")</f>
        <v/>
      </c>
      <c r="C38" s="39" t="s">
        <v>523</v>
      </c>
      <c r="D38" s="105">
        <f>Sponsor!E38</f>
        <v>0</v>
      </c>
      <c r="E38" s="8"/>
      <c r="F38" s="8"/>
      <c r="G38" s="8"/>
      <c r="H38" s="8"/>
      <c r="I38" s="8"/>
      <c r="J38" s="289">
        <f>SUM(E38:I38)</f>
        <v>0</v>
      </c>
      <c r="K38" s="32">
        <f>D38+J38</f>
        <v>0</v>
      </c>
      <c r="L38" s="8"/>
      <c r="M38" s="8"/>
      <c r="N38" s="30">
        <f>SUM(K38:M38)</f>
        <v>0</v>
      </c>
      <c r="O38" s="263">
        <f>UMYr1!D38+UMYr2!D38+UMYr3!D38+UMYr4!D38+UMYr5!D38</f>
        <v>0</v>
      </c>
      <c r="P38" s="264">
        <f>UMYr1!J38+UMYr2!J38+UMYr3!J38+UMYr4!J38+UMYr5!J38</f>
        <v>0</v>
      </c>
      <c r="Q38" s="265">
        <f>O38+P38</f>
        <v>0</v>
      </c>
      <c r="AC38" s="198"/>
      <c r="AD38" s="198"/>
      <c r="AE38" s="198"/>
      <c r="AF38" s="198"/>
      <c r="AG38" s="198"/>
      <c r="AH38" s="198"/>
      <c r="AJ38" s="198"/>
    </row>
    <row r="39" spans="1:36" ht="12.95" customHeight="1">
      <c r="A39" s="679">
        <f>IF(UMYr1!A39&lt;&gt;"",UMYr1!A39,"")</f>
        <v>60204</v>
      </c>
      <c r="B39" s="679" t="str">
        <f>IF(UMYr1!B39&lt;&gt;"",UMYr1!B39,"")</f>
        <v/>
      </c>
      <c r="C39" s="27" t="str">
        <f>UMYr1!C39</f>
        <v>Travel (out of state)</v>
      </c>
      <c r="D39" s="106">
        <f>Sponsor!E39</f>
        <v>0</v>
      </c>
      <c r="E39" s="8"/>
      <c r="F39" s="8"/>
      <c r="G39" s="8"/>
      <c r="H39" s="8"/>
      <c r="I39" s="8"/>
      <c r="J39" s="11">
        <f>SUM(E39:I39)</f>
        <v>0</v>
      </c>
      <c r="K39" s="32">
        <f>D39+J39</f>
        <v>0</v>
      </c>
      <c r="L39" s="8"/>
      <c r="M39" s="8"/>
      <c r="N39" s="32">
        <f>SUM(K39:M39)</f>
        <v>0</v>
      </c>
      <c r="O39" s="263">
        <f>UMYr1!D39+UMYr2!D39+UMYr3!D39+UMYr4!D39+UMYr5!D39</f>
        <v>0</v>
      </c>
      <c r="P39" s="264">
        <f>UMYr1!J39+UMYr2!J39+UMYr3!J39+UMYr4!J39+UMYr5!J39</f>
        <v>0</v>
      </c>
      <c r="Q39" s="266">
        <f>O39+P39</f>
        <v>0</v>
      </c>
      <c r="AC39" s="198"/>
      <c r="AD39" s="198"/>
      <c r="AE39" s="198"/>
      <c r="AF39" s="198"/>
      <c r="AG39" s="198"/>
      <c r="AH39" s="198"/>
      <c r="AJ39" s="198"/>
    </row>
    <row r="40" spans="1:36" ht="12.95" customHeight="1">
      <c r="A40" s="679">
        <f>IF(UMYr1!A40&lt;&gt;"",UMYr1!A40,"")</f>
        <v>60201</v>
      </c>
      <c r="B40" s="679" t="str">
        <f>IF(UMYr1!B40&lt;&gt;"",UMYr1!B40,"")</f>
        <v/>
      </c>
      <c r="C40" s="27" t="s">
        <v>526</v>
      </c>
      <c r="D40" s="106">
        <f>Sponsor!E40</f>
        <v>0</v>
      </c>
      <c r="E40" s="8"/>
      <c r="F40" s="8"/>
      <c r="G40" s="8"/>
      <c r="H40" s="8"/>
      <c r="I40" s="8"/>
      <c r="J40" s="11">
        <f>SUM(E40:I40)</f>
        <v>0</v>
      </c>
      <c r="K40" s="32">
        <f>D40+J40</f>
        <v>0</v>
      </c>
      <c r="L40" s="8"/>
      <c r="M40" s="8"/>
      <c r="N40" s="32">
        <f>SUM(K40:M40)</f>
        <v>0</v>
      </c>
      <c r="O40" s="263">
        <f>UMYr1!D40+UMYr2!D40+UMYr3!D40+UMYr4!D40+UMYr5!D40</f>
        <v>0</v>
      </c>
      <c r="P40" s="264">
        <f>UMYr1!J40+UMYr2!J40+UMYr3!J40+UMYr4!J40+UMYr5!J40</f>
        <v>0</v>
      </c>
      <c r="Q40" s="266">
        <f>O40+P40</f>
        <v>0</v>
      </c>
      <c r="AC40" s="198"/>
      <c r="AD40" s="198"/>
      <c r="AE40" s="198"/>
      <c r="AF40" s="198"/>
      <c r="AG40" s="198"/>
      <c r="AH40" s="198"/>
      <c r="AJ40" s="198"/>
    </row>
    <row r="41" spans="1:36" ht="12.95" customHeight="1">
      <c r="A41" s="679">
        <f>IF(UMYr1!A41&lt;&gt;"",UMYr1!A41,"")</f>
        <v>60200</v>
      </c>
      <c r="B41" s="679" t="str">
        <f>IF(UMYr1!B41&lt;&gt;"",UMYr1!B41,"")</f>
        <v/>
      </c>
      <c r="C41" s="27" t="s">
        <v>13</v>
      </c>
      <c r="D41" s="106">
        <f>Sponsor!E41</f>
        <v>0</v>
      </c>
      <c r="E41" s="8"/>
      <c r="F41" s="8"/>
      <c r="G41" s="8"/>
      <c r="H41" s="8"/>
      <c r="I41" s="8"/>
      <c r="J41" s="11">
        <f>SUM(E41:I41)</f>
        <v>0</v>
      </c>
      <c r="K41" s="32">
        <f>D41+J41</f>
        <v>0</v>
      </c>
      <c r="L41" s="8"/>
      <c r="M41" s="8"/>
      <c r="N41" s="32">
        <f>SUM(K41:M41)</f>
        <v>0</v>
      </c>
      <c r="O41" s="263">
        <f>UMYr1!D41+UMYr2!D41+UMYr3!D41+UMYr4!D41+UMYr5!D41</f>
        <v>0</v>
      </c>
      <c r="P41" s="264">
        <f>UMYr1!J41+UMYr2!J41+UMYr3!J41+UMYr4!J41+UMYr5!J41</f>
        <v>0</v>
      </c>
      <c r="Q41" s="266">
        <f>O41+P41</f>
        <v>0</v>
      </c>
      <c r="AC41" s="198"/>
      <c r="AD41" s="198"/>
      <c r="AE41" s="198"/>
      <c r="AF41" s="198"/>
      <c r="AG41" s="198"/>
      <c r="AH41" s="198"/>
      <c r="AJ41" s="198"/>
    </row>
    <row r="42" spans="1:36" ht="12.95" customHeight="1">
      <c r="A42" s="156" t="str">
        <f>IF(UMYr1!A42&lt;&gt;"",UMYr1!A42,"")</f>
        <v/>
      </c>
      <c r="B42" s="805" t="s">
        <v>527</v>
      </c>
      <c r="C42" s="753"/>
      <c r="D42" s="26">
        <f>Sponsor!E42</f>
        <v>0</v>
      </c>
      <c r="E42" s="34">
        <f>SUM(E38:E41)</f>
        <v>0</v>
      </c>
      <c r="F42" s="34">
        <f>SUM(F38:F41)</f>
        <v>0</v>
      </c>
      <c r="G42" s="34">
        <f>SUM(G38:G41)</f>
        <v>0</v>
      </c>
      <c r="H42" s="34">
        <f>SUM(H38:H41)</f>
        <v>0</v>
      </c>
      <c r="I42" s="34">
        <f>SUM(I38:I41)</f>
        <v>0</v>
      </c>
      <c r="J42" s="299">
        <f>SUM(E42:I42)</f>
        <v>0</v>
      </c>
      <c r="K42" s="32">
        <f>D42+J42</f>
        <v>0</v>
      </c>
      <c r="L42" s="34">
        <f>SUM(L38:L41)</f>
        <v>0</v>
      </c>
      <c r="M42" s="34">
        <f>SUM(M38:M41)</f>
        <v>0</v>
      </c>
      <c r="N42" s="26">
        <f>SUM(K42:M42)</f>
        <v>0</v>
      </c>
      <c r="O42" s="263">
        <f>UMYr1!D42+UMYr2!D42+UMYr3!D42+UMYr4!D42+UMYr5!D42</f>
        <v>0</v>
      </c>
      <c r="P42" s="264">
        <f>UMYr1!J42+UMYr2!J42+UMYr3!J42+UMYr4!J42+UMYr5!J42</f>
        <v>0</v>
      </c>
      <c r="Q42" s="311">
        <f>O42+P42</f>
        <v>0</v>
      </c>
      <c r="AC42" s="198"/>
      <c r="AD42" s="198"/>
      <c r="AE42" s="198"/>
      <c r="AF42" s="198"/>
      <c r="AG42" s="198"/>
      <c r="AH42" s="198"/>
      <c r="AI42" s="235"/>
      <c r="AJ42" s="198"/>
    </row>
    <row r="43" spans="1:36" ht="12.95" customHeight="1">
      <c r="A43" s="156" t="str">
        <f>IF(UMYr1!A43&lt;&gt;"",UMYr1!A43,"")</f>
        <v/>
      </c>
      <c r="B43" s="14" t="str">
        <f>IF(UMYr1!B43="","",UMYr1!B43)</f>
        <v>OTHER DIRECT COSTS - account codes must be entered in Sponsor tab</v>
      </c>
      <c r="C43" s="28"/>
      <c r="D43" s="28"/>
      <c r="E43" s="28"/>
      <c r="F43" s="28"/>
      <c r="G43" s="28"/>
      <c r="H43" s="28"/>
      <c r="I43" s="28"/>
      <c r="J43" s="28"/>
      <c r="K43" s="28"/>
      <c r="L43" s="28"/>
      <c r="M43" s="28"/>
      <c r="N43" s="190"/>
      <c r="O43" s="1051"/>
      <c r="P43" s="1047"/>
      <c r="Q43" s="1028"/>
      <c r="AJ43" s="198"/>
    </row>
    <row r="44" spans="1:36" ht="12.95" customHeight="1">
      <c r="A44" s="679">
        <f>IF(UMYr1!A44&lt;&gt;"",UMYr1!A44,"")</f>
        <v>61000</v>
      </c>
      <c r="B44" s="679" t="str">
        <f>IF(UMYr1!B44&lt;&gt;"",UMYr1!B44,"")</f>
        <v/>
      </c>
      <c r="C44" s="39" t="str">
        <f>UMYr1!C44</f>
        <v>Materials &amp; Supplies</v>
      </c>
      <c r="D44" s="105">
        <f>Sponsor!E44</f>
        <v>0</v>
      </c>
      <c r="E44" s="8"/>
      <c r="F44" s="8"/>
      <c r="G44" s="8"/>
      <c r="H44" s="8"/>
      <c r="I44" s="8"/>
      <c r="J44" s="289">
        <f t="shared" ref="J44:J53" si="8">SUM(E44:I44)</f>
        <v>0</v>
      </c>
      <c r="K44" s="32">
        <f>D44+J44</f>
        <v>0</v>
      </c>
      <c r="L44" s="8"/>
      <c r="M44" s="8"/>
      <c r="N44" s="30">
        <f t="shared" ref="N44:N62" si="9">SUM(K44:M44)</f>
        <v>0</v>
      </c>
      <c r="O44" s="263">
        <f>UMYr1!D44+UMYr2!D44+UMYr3!D44+UMYr4!D44+UMYr5!D44</f>
        <v>0</v>
      </c>
      <c r="P44" s="264">
        <f>UMYr1!J44+UMYr2!J44+UMYr3!J44+UMYr4!J44+UMYr5!J44</f>
        <v>0</v>
      </c>
      <c r="Q44" s="265">
        <f t="shared" ref="Q44:Q53" si="10">O44+P44</f>
        <v>0</v>
      </c>
      <c r="AJ44" s="198"/>
    </row>
    <row r="45" spans="1:36" ht="12.95" customHeight="1">
      <c r="A45" s="679">
        <f>IF(UMYr1!A45&lt;&gt;"",UMYr1!A45,"")</f>
        <v>60002</v>
      </c>
      <c r="B45" s="679" t="str">
        <f>IF(UMYr1!B45&lt;&gt;"",UMYr1!B45,"")</f>
        <v/>
      </c>
      <c r="C45" s="27" t="str">
        <f>UMYr1!C45</f>
        <v>Consultant Services</v>
      </c>
      <c r="D45" s="106">
        <f>Sponsor!E45</f>
        <v>0</v>
      </c>
      <c r="E45" s="8"/>
      <c r="F45" s="8"/>
      <c r="G45" s="8"/>
      <c r="H45" s="8"/>
      <c r="I45" s="8"/>
      <c r="J45" s="11">
        <f t="shared" si="8"/>
        <v>0</v>
      </c>
      <c r="K45" s="32">
        <f>D45+J45</f>
        <v>0</v>
      </c>
      <c r="L45" s="8"/>
      <c r="M45" s="8"/>
      <c r="N45" s="32">
        <f t="shared" si="9"/>
        <v>0</v>
      </c>
      <c r="O45" s="263">
        <f>UMYr1!D45+UMYr2!D45+UMYr3!D45+UMYr4!D45+UMYr5!D45</f>
        <v>0</v>
      </c>
      <c r="P45" s="264">
        <f>UMYr1!J45+UMYr2!J45+UMYr3!J45+UMYr4!J45+UMYr5!J45</f>
        <v>0</v>
      </c>
      <c r="Q45" s="266">
        <f t="shared" si="10"/>
        <v>0</v>
      </c>
      <c r="AC45" s="198"/>
      <c r="AD45" s="198"/>
      <c r="AE45" s="198"/>
      <c r="AF45" s="198"/>
      <c r="AG45" s="198"/>
      <c r="AH45" s="198"/>
      <c r="AI45" s="235"/>
      <c r="AJ45" s="198"/>
    </row>
    <row r="46" spans="1:36" ht="12.95" customHeight="1">
      <c r="A46" s="679">
        <f>IF(UMYr1!A46&lt;&gt;"",UMYr1!A46,"")</f>
        <v>60100</v>
      </c>
      <c r="B46" s="679" t="str">
        <f>IF(UMYr1!B46&lt;&gt;"",UMYr1!B46,"")</f>
        <v/>
      </c>
      <c r="C46" s="27" t="str">
        <f>UMYr1!C46</f>
        <v>Professional Services</v>
      </c>
      <c r="D46" s="106">
        <f>Sponsor!E46</f>
        <v>0</v>
      </c>
      <c r="E46" s="8"/>
      <c r="F46" s="8"/>
      <c r="G46" s="8"/>
      <c r="H46" s="8"/>
      <c r="I46" s="8"/>
      <c r="J46" s="11">
        <f t="shared" si="8"/>
        <v>0</v>
      </c>
      <c r="K46" s="32">
        <f>D46+J46</f>
        <v>0</v>
      </c>
      <c r="L46" s="8"/>
      <c r="M46" s="8"/>
      <c r="N46" s="32">
        <f t="shared" si="9"/>
        <v>0</v>
      </c>
      <c r="O46" s="263">
        <f>UMYr1!D46+UMYr2!D46+UMYr3!D46+UMYr4!D46+UMYr5!D46</f>
        <v>0</v>
      </c>
      <c r="P46" s="264">
        <f>UMYr1!J46+UMYr2!J46+UMYr3!J46+UMYr4!J46+UMYr5!J46</f>
        <v>0</v>
      </c>
      <c r="Q46" s="266">
        <f t="shared" si="10"/>
        <v>0</v>
      </c>
      <c r="AC46" s="198"/>
      <c r="AD46" s="198"/>
      <c r="AE46" s="198"/>
      <c r="AF46" s="198"/>
      <c r="AG46" s="198"/>
      <c r="AH46" s="198"/>
      <c r="AJ46" s="198"/>
    </row>
    <row r="47" spans="1:36" ht="12.95" customHeight="1">
      <c r="A47" s="679">
        <f>IF(UMYr1!A47&lt;&gt;"",UMYr1!A47,"")</f>
        <v>62000</v>
      </c>
      <c r="B47" s="679" t="str">
        <f>IF(UMYr1!B47&lt;&gt;"",UMYr1!B47,"")</f>
        <v/>
      </c>
      <c r="C47" s="27" t="str">
        <f>UMYr1!C47</f>
        <v>Non-Capital Equipment</v>
      </c>
      <c r="D47" s="106">
        <f>Sponsor!E47</f>
        <v>0</v>
      </c>
      <c r="E47" s="8"/>
      <c r="F47" s="8"/>
      <c r="G47" s="8"/>
      <c r="H47" s="8"/>
      <c r="I47" s="8"/>
      <c r="J47" s="11">
        <f t="shared" si="8"/>
        <v>0</v>
      </c>
      <c r="K47" s="32">
        <f>D47+J47</f>
        <v>0</v>
      </c>
      <c r="L47" s="8"/>
      <c r="M47" s="8"/>
      <c r="N47" s="32">
        <f t="shared" si="9"/>
        <v>0</v>
      </c>
      <c r="O47" s="263">
        <f>UMYr1!D47+UMYr2!D47+UMYr3!D47+UMYr4!D47+UMYr5!D47</f>
        <v>0</v>
      </c>
      <c r="P47" s="264">
        <f>UMYr1!J47+UMYr2!J47+UMYr3!J47+UMYr4!J47+UMYr5!J47</f>
        <v>0</v>
      </c>
      <c r="Q47" s="266">
        <f t="shared" si="10"/>
        <v>0</v>
      </c>
      <c r="AC47" s="198"/>
      <c r="AD47" s="198"/>
      <c r="AE47" s="198"/>
      <c r="AF47" s="198"/>
      <c r="AG47" s="198"/>
      <c r="AH47" s="198"/>
      <c r="AJ47" s="198"/>
    </row>
    <row r="48" spans="1:36" ht="12.95" customHeight="1">
      <c r="A48" s="679" t="str">
        <f>IF(UMYr1!A48&lt;&gt;"",UMYr1!A48,"")</f>
        <v/>
      </c>
      <c r="B48" s="679" t="str">
        <f>IF(UMYr1!B48&lt;&gt;"",UMYr1!B48,"")</f>
        <v/>
      </c>
      <c r="C48" s="27" t="str">
        <f xml:space="preserve"> UMYr1!C48</f>
        <v>Subrecipients (enter below)</v>
      </c>
      <c r="D48" s="25">
        <f>Sponsor!E48</f>
        <v>0</v>
      </c>
      <c r="E48" s="165">
        <f>E183</f>
        <v>0</v>
      </c>
      <c r="F48" s="129">
        <f t="shared" ref="F48:K48" si="11">F183</f>
        <v>0</v>
      </c>
      <c r="G48" s="129">
        <f t="shared" si="11"/>
        <v>0</v>
      </c>
      <c r="H48" s="129">
        <f t="shared" si="11"/>
        <v>0</v>
      </c>
      <c r="I48" s="129">
        <f t="shared" si="11"/>
        <v>0</v>
      </c>
      <c r="J48" s="43">
        <f t="shared" si="8"/>
        <v>0</v>
      </c>
      <c r="K48" s="11">
        <f t="shared" si="11"/>
        <v>0</v>
      </c>
      <c r="L48" s="23">
        <f>L183</f>
        <v>0</v>
      </c>
      <c r="M48" s="23">
        <f>M183</f>
        <v>0</v>
      </c>
      <c r="N48" s="25">
        <f t="shared" si="9"/>
        <v>0</v>
      </c>
      <c r="O48" s="263">
        <f>UMYr1!D48+UMYr2!D48+UMYr3!D48+UMYr4!D48+UMYr5!D48</f>
        <v>0</v>
      </c>
      <c r="P48" s="268"/>
      <c r="Q48" s="266">
        <f t="shared" si="10"/>
        <v>0</v>
      </c>
      <c r="AC48" s="198"/>
      <c r="AD48" s="198"/>
      <c r="AE48" s="198"/>
      <c r="AF48" s="198"/>
      <c r="AG48" s="198"/>
      <c r="AH48" s="198"/>
      <c r="AJ48" s="198"/>
    </row>
    <row r="49" spans="1:36" ht="12.95" customHeight="1">
      <c r="A49" s="679">
        <f>IF(UMYr1!A49&lt;&gt;"",UMYr1!A49,"")</f>
        <v>55300</v>
      </c>
      <c r="B49" s="679" t="str">
        <f>IF(UMYr1!B49&lt;&gt;"",UMYr1!B49,"")</f>
        <v/>
      </c>
      <c r="C49" s="27" t="str">
        <f>UMYr1!C49</f>
        <v>Tuition</v>
      </c>
      <c r="D49" s="106">
        <f>Sponsor!E49</f>
        <v>0</v>
      </c>
      <c r="E49" s="8"/>
      <c r="F49" s="8"/>
      <c r="G49" s="8"/>
      <c r="H49" s="8"/>
      <c r="I49" s="8"/>
      <c r="J49" s="11">
        <f t="shared" si="8"/>
        <v>0</v>
      </c>
      <c r="K49" s="32">
        <f>D49+J49</f>
        <v>0</v>
      </c>
      <c r="L49" s="8"/>
      <c r="M49" s="8"/>
      <c r="N49" s="32">
        <f t="shared" si="9"/>
        <v>0</v>
      </c>
      <c r="O49" s="263">
        <f>UMYr1!D49+UMYr2!D49+UMYr3!D49+UMYr4!D49+UMYr5!D49</f>
        <v>0</v>
      </c>
      <c r="P49" s="264">
        <f>UMYr1!J49+UMYr2!J49+UMYr3!J49+UMYr4!J49+UMYr5!J49</f>
        <v>0</v>
      </c>
      <c r="Q49" s="266">
        <f t="shared" si="10"/>
        <v>0</v>
      </c>
      <c r="AC49" s="198"/>
      <c r="AD49" s="198"/>
      <c r="AE49" s="198"/>
      <c r="AF49" s="198"/>
      <c r="AG49" s="198"/>
      <c r="AH49" s="198"/>
      <c r="AJ49" s="198"/>
    </row>
    <row r="50" spans="1:36" ht="12.95" customHeight="1">
      <c r="A50" s="679">
        <f>IF(UMYr1!A50&lt;&gt;"",UMYr1!A50,"")</f>
        <v>54113</v>
      </c>
      <c r="B50" s="679" t="str">
        <f>IF(UMYr1!B50&lt;&gt;"",UMYr1!B50,"")</f>
        <v/>
      </c>
      <c r="C50" s="27" t="str">
        <f>UMYr1!C50</f>
        <v>Grad Student Health Insurance</v>
      </c>
      <c r="D50" s="106">
        <f>Sponsor!E50</f>
        <v>0</v>
      </c>
      <c r="E50" s="8"/>
      <c r="F50" s="8"/>
      <c r="G50" s="8"/>
      <c r="H50" s="8"/>
      <c r="I50" s="8"/>
      <c r="J50" s="11">
        <f t="shared" si="8"/>
        <v>0</v>
      </c>
      <c r="K50" s="32">
        <f>D50+J50</f>
        <v>0</v>
      </c>
      <c r="L50" s="8"/>
      <c r="M50" s="8"/>
      <c r="N50" s="32">
        <f>SUM(K50:M50)</f>
        <v>0</v>
      </c>
      <c r="O50" s="263">
        <f>UMYr1!D50+UMYr2!D50+UMYr3!D50+UMYr4!D50+UMYr5!D50</f>
        <v>0</v>
      </c>
      <c r="P50" s="264">
        <f>UMYr1!J50+UMYr2!J50+UMYr3!J50+UMYr4!J50+UMYr5!J50</f>
        <v>0</v>
      </c>
      <c r="Q50" s="266">
        <f t="shared" si="10"/>
        <v>0</v>
      </c>
      <c r="AC50" s="198"/>
      <c r="AD50" s="198"/>
      <c r="AE50" s="198"/>
      <c r="AF50" s="198"/>
      <c r="AG50" s="198"/>
      <c r="AH50" s="198"/>
      <c r="AJ50" s="198"/>
    </row>
    <row r="51" spans="1:36" ht="12.95" customHeight="1">
      <c r="A51" s="679" t="str">
        <f>IF(UMYr1!A51&lt;&gt;"",UMYr1!A51,"")</f>
        <v>Below</v>
      </c>
      <c r="B51" s="682" t="str">
        <f>IF(UMYr1!B51&lt;&gt;"",UMYr1!B51,"")</f>
        <v/>
      </c>
      <c r="C51" s="27" t="s">
        <v>538</v>
      </c>
      <c r="D51" s="32">
        <f>Sponsor!E51</f>
        <v>0</v>
      </c>
      <c r="E51" s="31">
        <f>E120</f>
        <v>0</v>
      </c>
      <c r="F51" s="31">
        <f>F120</f>
        <v>0</v>
      </c>
      <c r="G51" s="31">
        <f>G120</f>
        <v>0</v>
      </c>
      <c r="H51" s="31">
        <f>H120</f>
        <v>0</v>
      </c>
      <c r="I51" s="31">
        <f>I120</f>
        <v>0</v>
      </c>
      <c r="J51" s="11">
        <f t="shared" si="8"/>
        <v>0</v>
      </c>
      <c r="K51" s="32">
        <f>D51+J51</f>
        <v>0</v>
      </c>
      <c r="L51" s="31">
        <f>L120</f>
        <v>0</v>
      </c>
      <c r="M51" s="31">
        <f>M120</f>
        <v>0</v>
      </c>
      <c r="N51" s="32">
        <f t="shared" si="9"/>
        <v>0</v>
      </c>
      <c r="O51" s="263">
        <f>UMYr1!D51+UMYr2!D51+UMYr3!D51+UMYr4!D51+UMYr5!D51</f>
        <v>0</v>
      </c>
      <c r="P51" s="264">
        <f>UMYr1!J51+UMYr2!J51+UMYr3!J51+UMYr4!J51+UMYr5!J51</f>
        <v>0</v>
      </c>
      <c r="Q51" s="266">
        <f t="shared" si="10"/>
        <v>0</v>
      </c>
      <c r="AC51" s="198"/>
      <c r="AD51" s="198"/>
      <c r="AE51" s="198"/>
      <c r="AF51" s="198"/>
      <c r="AG51" s="198"/>
      <c r="AH51" s="198"/>
      <c r="AJ51" s="198"/>
    </row>
    <row r="52" spans="1:36" ht="12.95" customHeight="1" thickBot="1">
      <c r="A52" s="156" t="str">
        <f>IF(UMYr1!A52&lt;&gt;"",UMYr1!A52,"")</f>
        <v/>
      </c>
      <c r="B52" s="810" t="s">
        <v>540</v>
      </c>
      <c r="C52" s="811"/>
      <c r="D52" s="44">
        <f>Sponsor!E52</f>
        <v>0</v>
      </c>
      <c r="E52" s="269">
        <f>SUM(E44:E51)</f>
        <v>0</v>
      </c>
      <c r="F52" s="269">
        <f>SUM(F44:F51)</f>
        <v>0</v>
      </c>
      <c r="G52" s="269">
        <f>SUM(G44:G51)</f>
        <v>0</v>
      </c>
      <c r="H52" s="269">
        <f>SUM(H44:H51)</f>
        <v>0</v>
      </c>
      <c r="I52" s="269">
        <f>SUM(I44:I51)</f>
        <v>0</v>
      </c>
      <c r="J52" s="313">
        <f t="shared" si="8"/>
        <v>0</v>
      </c>
      <c r="K52" s="270">
        <f>D52+J52</f>
        <v>0</v>
      </c>
      <c r="L52" s="269">
        <f>SUM(L44:L51)</f>
        <v>0</v>
      </c>
      <c r="M52" s="269">
        <f>SUM(M44:M51)</f>
        <v>0</v>
      </c>
      <c r="N52" s="44">
        <f t="shared" si="9"/>
        <v>0</v>
      </c>
      <c r="O52" s="271">
        <f>UMYr1!D52+UMYr2!D52+UMYr3!D52+UMYr4!D52+UMYr5!D52</f>
        <v>0</v>
      </c>
      <c r="P52" s="272">
        <f>UMYr1!J52+UMYr2!J52+UMYr3!J52+UMYr4!J52+UMYr5!J52</f>
        <v>0</v>
      </c>
      <c r="Q52" s="266">
        <f t="shared" si="10"/>
        <v>0</v>
      </c>
      <c r="AC52" s="198"/>
      <c r="AD52" s="198"/>
      <c r="AE52" s="198"/>
      <c r="AF52" s="198"/>
      <c r="AG52" s="198"/>
      <c r="AH52" s="198"/>
      <c r="AJ52" s="198"/>
    </row>
    <row r="53" spans="1:36" ht="12.95" customHeight="1" thickTop="1">
      <c r="A53" s="156" t="str">
        <f>IF(UMYr1!A53&lt;&gt;"",UMYr1!A53,"")</f>
        <v/>
      </c>
      <c r="B53" s="1057" t="s">
        <v>656</v>
      </c>
      <c r="C53" s="1053"/>
      <c r="D53" s="45">
        <f>Sponsor!E53</f>
        <v>0</v>
      </c>
      <c r="E53" s="23">
        <f>E52+E42+E31+E26+E36</f>
        <v>0</v>
      </c>
      <c r="F53" s="23">
        <f>F52+F42+F31+F26+F36</f>
        <v>0</v>
      </c>
      <c r="G53" s="23">
        <f>G52+G42+G31+G26+G36</f>
        <v>0</v>
      </c>
      <c r="H53" s="23">
        <f>H52+H42+H31+H26+H36</f>
        <v>0</v>
      </c>
      <c r="I53" s="23">
        <f>I52+I42+I31+I26+I36</f>
        <v>0</v>
      </c>
      <c r="J53" s="314">
        <f t="shared" si="8"/>
        <v>0</v>
      </c>
      <c r="K53" s="32">
        <f>D53+J53</f>
        <v>0</v>
      </c>
      <c r="L53" s="23">
        <f>L52+L42+L35+L33+L31+L26+L34</f>
        <v>0</v>
      </c>
      <c r="M53" s="23">
        <f>M52+M42+M35+M33+M31+M26+M34</f>
        <v>0</v>
      </c>
      <c r="N53" s="25">
        <f t="shared" si="9"/>
        <v>0</v>
      </c>
      <c r="O53" s="273">
        <f>UMYr1!D53+UMYr2!D53+UMYr3!D53+UMYr4!D53+UMYr5!D53</f>
        <v>0</v>
      </c>
      <c r="P53" s="264">
        <f>UMYr1!J53+UMYr2!J53+UMYr3!J53+UMYr4!J53+UMYr5!J53</f>
        <v>0</v>
      </c>
      <c r="Q53" s="274">
        <f t="shared" si="10"/>
        <v>0</v>
      </c>
      <c r="AC53" s="198"/>
      <c r="AD53" s="198"/>
      <c r="AE53" s="198"/>
      <c r="AF53" s="198"/>
      <c r="AG53" s="198"/>
      <c r="AH53" s="198"/>
      <c r="AJ53" s="198"/>
    </row>
    <row r="54" spans="1:36" ht="12.95" customHeight="1">
      <c r="A54" s="315" t="str">
        <f>IF(UMYr1!A54&lt;&gt;"",UMYr1!A54,"")</f>
        <v/>
      </c>
      <c r="B54" s="689">
        <f>IF(UMYr1!B54&lt;&gt;"",UMYr1!B54,"")</f>
        <v>65711</v>
      </c>
      <c r="C54" s="350" t="str">
        <f>UMYr1!C54</f>
        <v>UM  F&amp;A on Direct Costs</v>
      </c>
      <c r="D54" s="868" t="s">
        <v>658</v>
      </c>
      <c r="E54" s="387">
        <f>ROUND(E84*E68,0)</f>
        <v>0</v>
      </c>
      <c r="F54" s="387">
        <f>ROUND(F84*F68,0)</f>
        <v>0</v>
      </c>
      <c r="G54" s="387">
        <f>ROUND(G84*G68,0)</f>
        <v>0</v>
      </c>
      <c r="H54" s="387">
        <f>ROUND(H84*H68,0)</f>
        <v>0</v>
      </c>
      <c r="I54" s="387">
        <f>ROUND(I84*I68,0)</f>
        <v>0</v>
      </c>
      <c r="J54" s="387">
        <f>SUM(E54:I54)</f>
        <v>0</v>
      </c>
      <c r="K54" s="105">
        <f>J54</f>
        <v>0</v>
      </c>
      <c r="L54" s="892"/>
      <c r="M54" s="894"/>
      <c r="N54" s="636">
        <f t="shared" si="9"/>
        <v>0</v>
      </c>
      <c r="O54" s="876" t="s">
        <v>658</v>
      </c>
      <c r="P54" s="401">
        <f>UMYr1!J54+UMYr2!J54+UMYr3!J54+UMYr4!J54+UMYr5!J54</f>
        <v>0</v>
      </c>
      <c r="Q54" s="265">
        <f t="shared" ref="Q54:Q59" si="12">P54</f>
        <v>0</v>
      </c>
      <c r="AC54" s="198"/>
      <c r="AD54" s="198"/>
      <c r="AE54" s="198"/>
      <c r="AF54" s="198"/>
      <c r="AG54" s="198"/>
      <c r="AH54" s="198"/>
      <c r="AJ54" s="198"/>
    </row>
    <row r="55" spans="1:36" ht="12.95" customHeight="1">
      <c r="A55" s="156"/>
      <c r="B55" s="689">
        <v>65712</v>
      </c>
      <c r="C55" s="134" t="str">
        <f>UMYr1!C55</f>
        <v>Above Sponsor Cap</v>
      </c>
      <c r="D55" s="937"/>
      <c r="E55" s="171">
        <f>Sponsor!E57</f>
        <v>0</v>
      </c>
      <c r="F55" s="892" t="s">
        <v>658</v>
      </c>
      <c r="G55" s="893"/>
      <c r="H55" s="893"/>
      <c r="I55" s="893"/>
      <c r="J55" s="893"/>
      <c r="K55" s="105">
        <f>E55</f>
        <v>0</v>
      </c>
      <c r="L55" s="624"/>
      <c r="M55" s="628"/>
      <c r="N55" s="32">
        <f>K55</f>
        <v>0</v>
      </c>
      <c r="O55" s="1058"/>
      <c r="P55" s="263">
        <f>UMYr1!E55+UMYr2!E55+UMYr3!E55+UMYr4!E55+UMYr5!E55</f>
        <v>0</v>
      </c>
      <c r="Q55" s="388">
        <f t="shared" si="12"/>
        <v>0</v>
      </c>
    </row>
    <row r="56" spans="1:36" ht="12.95" customHeight="1">
      <c r="A56" s="156"/>
      <c r="B56" s="689">
        <v>65713</v>
      </c>
      <c r="C56" s="134" t="str">
        <f>UMYr1!C56</f>
        <v>Required  Cost Sharing</v>
      </c>
      <c r="D56" s="937"/>
      <c r="E56" s="378">
        <f>Sponsor!E58</f>
        <v>0</v>
      </c>
      <c r="F56" s="916"/>
      <c r="G56" s="788"/>
      <c r="H56" s="788"/>
      <c r="I56" s="788"/>
      <c r="J56" s="788"/>
      <c r="K56" s="106">
        <f>E56</f>
        <v>0</v>
      </c>
      <c r="L56" s="626"/>
      <c r="M56" s="620"/>
      <c r="N56" s="32">
        <f>K56</f>
        <v>0</v>
      </c>
      <c r="O56" s="1058"/>
      <c r="P56" s="263">
        <f>UMYr1!E56+UMYr2!E56+UMYr3!E56+UMYr4!E56+UMYr5!E56</f>
        <v>0</v>
      </c>
      <c r="Q56" s="388">
        <f t="shared" si="12"/>
        <v>0</v>
      </c>
    </row>
    <row r="57" spans="1:36" ht="12.95" customHeight="1">
      <c r="A57" s="665"/>
      <c r="B57" s="689">
        <v>65714</v>
      </c>
      <c r="C57" s="134" t="str">
        <f>UMYr1!C57</f>
        <v xml:space="preserve">State Agreement </v>
      </c>
      <c r="D57" s="937"/>
      <c r="E57" s="378">
        <f>Sponsor!E59</f>
        <v>0</v>
      </c>
      <c r="F57" s="916"/>
      <c r="G57" s="788"/>
      <c r="H57" s="788"/>
      <c r="I57" s="788"/>
      <c r="J57" s="788"/>
      <c r="K57" s="106">
        <f>E57</f>
        <v>0</v>
      </c>
      <c r="L57" s="626"/>
      <c r="M57" s="620"/>
      <c r="N57" s="32">
        <f>K57</f>
        <v>0</v>
      </c>
      <c r="O57" s="1058"/>
      <c r="P57" s="263">
        <f>UMYr1!E57+UMYr2!E57+UMYr3!E57+UMYr4!E57+UMYr5!E57</f>
        <v>0</v>
      </c>
      <c r="Q57" s="388">
        <f t="shared" si="12"/>
        <v>0</v>
      </c>
    </row>
    <row r="58" spans="1:36" ht="12.95" customHeight="1">
      <c r="A58" s="665"/>
      <c r="B58" s="689">
        <v>65715</v>
      </c>
      <c r="C58" s="134" t="str">
        <f>UMYr1!C58</f>
        <v>Voluntary Cost Sharing</v>
      </c>
      <c r="D58" s="937"/>
      <c r="E58" s="378">
        <f>Sponsor!E60</f>
        <v>0</v>
      </c>
      <c r="F58" s="916"/>
      <c r="G58" s="788"/>
      <c r="H58" s="788"/>
      <c r="I58" s="788"/>
      <c r="J58" s="788"/>
      <c r="K58" s="106">
        <f>E58</f>
        <v>0</v>
      </c>
      <c r="L58" s="626"/>
      <c r="M58" s="620"/>
      <c r="N58" s="32">
        <f>K58</f>
        <v>0</v>
      </c>
      <c r="O58" s="1058"/>
      <c r="P58" s="263">
        <f>UMYr1!E58+UMYr2!E58+UMYr3!E58+UMYr4!E58+UMYr5!E58</f>
        <v>0</v>
      </c>
      <c r="Q58" s="388">
        <f t="shared" si="12"/>
        <v>0</v>
      </c>
    </row>
    <row r="59" spans="1:36" ht="12.95" customHeight="1">
      <c r="A59" s="665"/>
      <c r="C59" s="345" t="str">
        <f>UMYr1!C59</f>
        <v xml:space="preserve">Total  F&amp;A Waiver (FACS) </v>
      </c>
      <c r="D59" s="937"/>
      <c r="E59" s="433">
        <f>SUM(E55:E58)</f>
        <v>0</v>
      </c>
      <c r="F59" s="895"/>
      <c r="G59" s="896"/>
      <c r="H59" s="896"/>
      <c r="I59" s="896"/>
      <c r="J59" s="896"/>
      <c r="K59" s="298">
        <f>E59</f>
        <v>0</v>
      </c>
      <c r="L59" s="627"/>
      <c r="M59" s="623"/>
      <c r="N59" s="41">
        <f>K59</f>
        <v>0</v>
      </c>
      <c r="O59" s="1059"/>
      <c r="P59" s="393">
        <f>UMYr1!E59+UMYr2!E59+UMYr3!E59+UMYr4!E59+UMYr5!E59</f>
        <v>0</v>
      </c>
      <c r="Q59" s="280">
        <f t="shared" si="12"/>
        <v>0</v>
      </c>
    </row>
    <row r="60" spans="1:36" ht="12.95" customHeight="1">
      <c r="A60" s="679">
        <v>65701</v>
      </c>
      <c r="B60" s="808" t="str">
        <f>UMYr1!B60</f>
        <v>Total F&amp;A Charged</v>
      </c>
      <c r="C60" s="809"/>
      <c r="D60" s="636">
        <f>Sponsor!E54</f>
        <v>0</v>
      </c>
      <c r="E60" s="378">
        <f>E54+E59</f>
        <v>0</v>
      </c>
      <c r="F60" s="378">
        <f>F54+F59</f>
        <v>0</v>
      </c>
      <c r="G60" s="378">
        <f>G54+G59</f>
        <v>0</v>
      </c>
      <c r="H60" s="378">
        <f>H54+H59</f>
        <v>0</v>
      </c>
      <c r="I60" s="378">
        <f>I54+I59</f>
        <v>0</v>
      </c>
      <c r="J60" s="434">
        <f>SUM(E60:I60)</f>
        <v>0</v>
      </c>
      <c r="K60" s="188">
        <f>J60+D60</f>
        <v>0</v>
      </c>
      <c r="L60" s="399">
        <f>ROUND(L69*L84,0)</f>
        <v>0</v>
      </c>
      <c r="M60" s="636">
        <f>ROUND(M69*M84,0)</f>
        <v>0</v>
      </c>
      <c r="N60" s="432">
        <f>J60+D60 + L60</f>
        <v>0</v>
      </c>
      <c r="O60" s="400">
        <f>UMYr1!D60+UMYr2!D60+UMYr3!D60+UMYr4!D60+UMYr5!D60</f>
        <v>0</v>
      </c>
      <c r="P60" s="264">
        <f>UMYr1!K60+UMYr2!K60+UMYr3!K60+UMYr4!K60+UMYr5!K60</f>
        <v>0</v>
      </c>
      <c r="Q60" s="388">
        <f>O60+P60</f>
        <v>0</v>
      </c>
    </row>
    <row r="61" spans="1:36" ht="12.95" customHeight="1" thickBot="1">
      <c r="B61" s="116">
        <v>65719</v>
      </c>
      <c r="C61" s="345" t="str">
        <f>UMYr1!C61</f>
        <v xml:space="preserve">UM  F&amp;A Offset </v>
      </c>
      <c r="D61" s="381"/>
      <c r="E61" s="378">
        <f>-E60</f>
        <v>0</v>
      </c>
      <c r="F61" s="378">
        <f>-F60</f>
        <v>0</v>
      </c>
      <c r="G61" s="378">
        <f>-G60</f>
        <v>0</v>
      </c>
      <c r="H61" s="378">
        <f>-H60</f>
        <v>0</v>
      </c>
      <c r="I61" s="378">
        <f>-I60</f>
        <v>0</v>
      </c>
      <c r="J61" s="378">
        <f>SUM(E61:I61)</f>
        <v>0</v>
      </c>
      <c r="K61" s="469">
        <f>J61</f>
        <v>0</v>
      </c>
      <c r="L61" s="411"/>
      <c r="M61" s="637"/>
      <c r="N61" s="432">
        <f>K61</f>
        <v>0</v>
      </c>
      <c r="O61" s="402"/>
      <c r="P61" s="272">
        <f>UMYr1!K61+UMYr2!K61+UMYr3!K61+UMYr4!K61+UMYr5!K61</f>
        <v>0</v>
      </c>
      <c r="Q61" s="389">
        <f>P61</f>
        <v>0</v>
      </c>
    </row>
    <row r="62" spans="1:36" ht="12.95" customHeight="1" thickTop="1">
      <c r="B62" s="941" t="str">
        <f>UMYr1!B62</f>
        <v>TOTAL CHARGED</v>
      </c>
      <c r="C62" s="942"/>
      <c r="D62" s="512">
        <f>Sponsor!E55</f>
        <v>0</v>
      </c>
      <c r="E62" s="515">
        <f>E53+E60</f>
        <v>0</v>
      </c>
      <c r="F62" s="516">
        <f>F53+F60</f>
        <v>0</v>
      </c>
      <c r="G62" s="516">
        <f>G53+G60</f>
        <v>0</v>
      </c>
      <c r="H62" s="516">
        <f>H53+H60</f>
        <v>0</v>
      </c>
      <c r="I62" s="516">
        <f>I53+I60</f>
        <v>0</v>
      </c>
      <c r="J62" s="511">
        <f>SUM(E62:I62)</f>
        <v>0</v>
      </c>
      <c r="K62" s="517">
        <f>SUM(D62:I62)</f>
        <v>0</v>
      </c>
      <c r="L62" s="511">
        <f>SUM(L53:L60)</f>
        <v>0</v>
      </c>
      <c r="M62" s="511">
        <f>SUM(M53:M60)</f>
        <v>0</v>
      </c>
      <c r="N62" s="512">
        <f t="shared" si="9"/>
        <v>0</v>
      </c>
      <c r="O62" s="511">
        <f>UMYr1!D62+UMYr2!D62+UMYr3!D62+UMYr4!D62+UMYr5!D62</f>
        <v>0</v>
      </c>
      <c r="P62" s="514">
        <f>UMYr1!J62+UMYr2!J62+UMYr3!J62+UMYr4!J62+UMYr5!J62</f>
        <v>0</v>
      </c>
      <c r="Q62" s="517">
        <f>O62+P62</f>
        <v>0</v>
      </c>
    </row>
    <row r="63" spans="1:36" ht="12.95" customHeight="1">
      <c r="A63" s="156" t="str">
        <f>IF(UMYr1!A63&lt;&gt;"",UMYr1!A63,"")</f>
        <v/>
      </c>
      <c r="B63" s="909" t="s">
        <v>662</v>
      </c>
      <c r="C63" s="777"/>
      <c r="D63" s="673">
        <f>D62-D42</f>
        <v>0</v>
      </c>
      <c r="E63" s="521">
        <f t="shared" ref="E63:Q63" si="13">E62-E42</f>
        <v>0</v>
      </c>
      <c r="F63" s="521">
        <f t="shared" si="13"/>
        <v>0</v>
      </c>
      <c r="G63" s="521">
        <f t="shared" si="13"/>
        <v>0</v>
      </c>
      <c r="H63" s="521">
        <f t="shared" si="13"/>
        <v>0</v>
      </c>
      <c r="I63" s="521">
        <f t="shared" si="13"/>
        <v>0</v>
      </c>
      <c r="J63" s="521">
        <f t="shared" si="13"/>
        <v>0</v>
      </c>
      <c r="K63" s="673">
        <f t="shared" si="13"/>
        <v>0</v>
      </c>
      <c r="L63" s="521">
        <f t="shared" si="13"/>
        <v>0</v>
      </c>
      <c r="M63" s="521">
        <f t="shared" si="13"/>
        <v>0</v>
      </c>
      <c r="N63" s="673">
        <f t="shared" si="13"/>
        <v>0</v>
      </c>
      <c r="O63" s="527">
        <f t="shared" si="13"/>
        <v>0</v>
      </c>
      <c r="P63" s="528">
        <f t="shared" si="13"/>
        <v>0</v>
      </c>
      <c r="Q63" s="528">
        <f t="shared" si="13"/>
        <v>0</v>
      </c>
    </row>
    <row r="64" spans="1:36" ht="12.95" customHeight="1">
      <c r="A64" s="156" t="str">
        <f>IF(UMYr1!A64&lt;&gt;"",UMYr1!A64,"")</f>
        <v/>
      </c>
      <c r="B64" s="1060" t="s">
        <v>663</v>
      </c>
      <c r="C64" s="1061"/>
      <c r="D64" s="1061"/>
      <c r="E64" s="1061"/>
      <c r="F64" s="1061"/>
      <c r="G64" s="1061"/>
      <c r="H64" s="1061"/>
      <c r="I64" s="1061"/>
      <c r="J64" s="1061"/>
      <c r="K64" s="1061"/>
      <c r="L64" s="1061"/>
      <c r="M64" s="1061"/>
      <c r="N64" s="1062"/>
    </row>
    <row r="65" spans="1:26" ht="12.95" customHeight="1">
      <c r="A65" s="156" t="str">
        <f>IF(UMYr1!A65&lt;&gt;"",UMYr1!A65,"")</f>
        <v/>
      </c>
      <c r="B65" s="15" t="s">
        <v>556</v>
      </c>
      <c r="C65" s="28"/>
      <c r="D65" s="28"/>
      <c r="E65" s="28"/>
      <c r="F65" s="28"/>
      <c r="G65" s="28"/>
      <c r="H65" s="28"/>
      <c r="I65" s="28"/>
      <c r="J65" s="28"/>
      <c r="K65" s="28"/>
      <c r="L65" s="28"/>
      <c r="M65" s="28"/>
      <c r="N65" s="190"/>
      <c r="O65" s="316"/>
    </row>
    <row r="66" spans="1:26" ht="12.95" customHeight="1">
      <c r="A66" s="156" t="str">
        <f>IF(UMYr1!A66&lt;&gt;"",UMYr1!A66,"")</f>
        <v/>
      </c>
      <c r="B66" s="771" t="s">
        <v>558</v>
      </c>
      <c r="C66" s="772"/>
      <c r="D66" s="120">
        <f>Sponsor!E67</f>
        <v>0.437</v>
      </c>
      <c r="E66" s="631">
        <f>D66</f>
        <v>0.437</v>
      </c>
      <c r="F66" s="631">
        <f>D66</f>
        <v>0.437</v>
      </c>
      <c r="G66" s="631">
        <f>D66</f>
        <v>0.437</v>
      </c>
      <c r="H66" s="631">
        <f>D66</f>
        <v>0.437</v>
      </c>
      <c r="I66" s="631">
        <f>D66</f>
        <v>0.437</v>
      </c>
      <c r="J66" s="49"/>
      <c r="K66" s="283"/>
      <c r="L66" s="49">
        <f>$D$66</f>
        <v>0.437</v>
      </c>
      <c r="M66" s="51">
        <f>$D$66</f>
        <v>0.437</v>
      </c>
      <c r="N66" s="284"/>
      <c r="O66" s="275"/>
      <c r="Q66" s="197"/>
      <c r="R66" s="221"/>
      <c r="S66" s="221"/>
    </row>
    <row r="67" spans="1:26" ht="12.95" customHeight="1">
      <c r="A67" s="156" t="str">
        <f>IF(UMYr1!A67&lt;&gt;"",UMYr1!A67,"")</f>
        <v/>
      </c>
      <c r="B67" s="818" t="s">
        <v>559</v>
      </c>
      <c r="C67" s="763"/>
      <c r="D67" s="121">
        <f>Sponsor!E68</f>
        <v>7.6999999999999999E-2</v>
      </c>
      <c r="E67" s="632">
        <f>D67</f>
        <v>7.6999999999999999E-2</v>
      </c>
      <c r="F67" s="53">
        <f>D67</f>
        <v>7.6999999999999999E-2</v>
      </c>
      <c r="G67" s="53">
        <f>D67</f>
        <v>7.6999999999999999E-2</v>
      </c>
      <c r="H67" s="53">
        <f>D67</f>
        <v>7.6999999999999999E-2</v>
      </c>
      <c r="I67" s="53">
        <f>D67</f>
        <v>7.6999999999999999E-2</v>
      </c>
      <c r="J67" s="57"/>
      <c r="K67" s="18"/>
      <c r="L67" s="53">
        <f>$D$67</f>
        <v>7.6999999999999999E-2</v>
      </c>
      <c r="M67" s="55">
        <f>$D$67</f>
        <v>7.6999999999999999E-2</v>
      </c>
      <c r="N67" s="286"/>
      <c r="O67" s="316"/>
      <c r="Q67" s="197"/>
      <c r="R67" s="135"/>
    </row>
    <row r="68" spans="1:26" ht="12.95" customHeight="1">
      <c r="A68" s="156" t="str">
        <f>IF(UMYr1!A68&lt;&gt;"",UMYr1!A68,"")</f>
        <v/>
      </c>
      <c r="B68" s="762" t="str">
        <f>UMYr1!B68</f>
        <v>F&amp;A RATE     On-Campus</v>
      </c>
      <c r="C68" s="763"/>
      <c r="D68" s="121">
        <f>Sponsor!E69</f>
        <v>0.47699999999999998</v>
      </c>
      <c r="E68" s="632">
        <f>D68</f>
        <v>0.47699999999999998</v>
      </c>
      <c r="F68" s="56">
        <f>D68</f>
        <v>0.47699999999999998</v>
      </c>
      <c r="G68" s="53">
        <f>D68</f>
        <v>0.47699999999999998</v>
      </c>
      <c r="H68" s="53">
        <f>D68</f>
        <v>0.47699999999999998</v>
      </c>
      <c r="I68" s="53">
        <f>D68</f>
        <v>0.47699999999999998</v>
      </c>
      <c r="J68" s="89">
        <f>I68</f>
        <v>0.47699999999999998</v>
      </c>
      <c r="K68" s="18"/>
      <c r="L68" s="17">
        <f>$D$68</f>
        <v>0.47699999999999998</v>
      </c>
      <c r="M68" s="615">
        <f>$D$68</f>
        <v>0.47699999999999998</v>
      </c>
      <c r="N68" s="286"/>
      <c r="O68" s="316"/>
      <c r="R68" s="135"/>
    </row>
    <row r="69" spans="1:26" ht="12.95" customHeight="1" thickBot="1">
      <c r="A69" s="156" t="str">
        <f>IF(UMYr1!A69&lt;&gt;"",UMYr1!A69,"")</f>
        <v/>
      </c>
      <c r="B69" s="762" t="str">
        <f>UMYr1!B69</f>
        <v>F&amp;A RATE CHARGED</v>
      </c>
      <c r="C69" s="763"/>
      <c r="D69" s="122">
        <f>Sponsor!E70</f>
        <v>0.47699999999999998</v>
      </c>
      <c r="E69" s="633">
        <f>D69</f>
        <v>0.47699999999999998</v>
      </c>
      <c r="F69" s="224">
        <f>D69</f>
        <v>0.47699999999999998</v>
      </c>
      <c r="G69" s="630">
        <f>D69</f>
        <v>0.47699999999999998</v>
      </c>
      <c r="H69" s="224">
        <f>D69</f>
        <v>0.47699999999999998</v>
      </c>
      <c r="I69" s="224">
        <f>D69</f>
        <v>0.47699999999999998</v>
      </c>
      <c r="J69" s="224">
        <f>I69</f>
        <v>0.47699999999999998</v>
      </c>
      <c r="K69" s="287"/>
      <c r="L69" s="616">
        <v>0</v>
      </c>
      <c r="M69" s="617">
        <v>0</v>
      </c>
      <c r="N69" s="288"/>
      <c r="O69" s="5"/>
      <c r="P69" s="223"/>
      <c r="R69" s="135"/>
    </row>
    <row r="70" spans="1:26" ht="12.95" customHeight="1">
      <c r="A70" s="156" t="str">
        <f>IF(UMYr1!A70&lt;&gt;"",UMYr1!A70,"")</f>
        <v/>
      </c>
      <c r="B70" s="73" t="s">
        <v>563</v>
      </c>
      <c r="C70" s="227"/>
      <c r="D70" s="227"/>
      <c r="E70" s="227"/>
      <c r="F70" s="227"/>
      <c r="G70" s="227"/>
      <c r="H70" s="227"/>
      <c r="I70" s="227"/>
      <c r="J70" s="227"/>
      <c r="K70" s="227"/>
      <c r="L70" s="227"/>
      <c r="M70" s="227"/>
      <c r="N70" s="228"/>
    </row>
    <row r="71" spans="1:26" ht="12.95" customHeight="1">
      <c r="A71" s="156" t="str">
        <f>IF(UMYr1!A71&lt;&gt;"",UMYr1!A71,"")</f>
        <v/>
      </c>
      <c r="B71" s="317"/>
      <c r="C71" s="191" t="s">
        <v>564</v>
      </c>
      <c r="D71" s="30">
        <f>Sponsor!E74</f>
        <v>0</v>
      </c>
      <c r="E71" s="23">
        <f>E13+E15+E16+E19+E20+E21+E22</f>
        <v>0</v>
      </c>
      <c r="F71" s="31">
        <f>F13+F15+F16+F19+F20+F21+F22</f>
        <v>0</v>
      </c>
      <c r="G71" s="31">
        <f>G13+G15+G16+G19+G20+G21+G22</f>
        <v>0</v>
      </c>
      <c r="H71" s="31">
        <f>H13+H15+H16+H19+H20+H21+H22</f>
        <v>0</v>
      </c>
      <c r="I71" s="31">
        <f>I13+I15+I16+I19+I20+I21+I22</f>
        <v>0</v>
      </c>
      <c r="J71" s="289">
        <f>SUM(E71:I71)</f>
        <v>0</v>
      </c>
      <c r="K71" s="30">
        <f>D71+J71</f>
        <v>0</v>
      </c>
      <c r="L71" s="31">
        <f>L13+L15+L16+L19+L20+L21+L22</f>
        <v>0</v>
      </c>
      <c r="M71" s="31">
        <f>M13+M15+M16+M19+M20+M21+M22</f>
        <v>0</v>
      </c>
      <c r="N71" s="77">
        <f>SUM(K71:M71)</f>
        <v>0</v>
      </c>
      <c r="Q71" s="223"/>
      <c r="T71" s="452" t="s">
        <v>665</v>
      </c>
      <c r="U71" s="452" t="s">
        <v>666</v>
      </c>
      <c r="V71" s="223" t="s">
        <v>667</v>
      </c>
      <c r="W71" s="223" t="s">
        <v>668</v>
      </c>
      <c r="X71" s="452" t="s">
        <v>13</v>
      </c>
      <c r="Y71" s="453" t="s">
        <v>647</v>
      </c>
      <c r="Z71" s="453" t="s">
        <v>13</v>
      </c>
    </row>
    <row r="72" spans="1:26" ht="12.95" customHeight="1">
      <c r="A72" s="156" t="str">
        <f>IF(UMYr1!A72&lt;&gt;"",UMYr1!A72,"")</f>
        <v/>
      </c>
      <c r="B72" s="317"/>
      <c r="C72" s="233" t="s">
        <v>565</v>
      </c>
      <c r="D72" s="32">
        <f>Sponsor!E75</f>
        <v>0</v>
      </c>
      <c r="E72" s="31">
        <f>E20+E21+SUM(T72:T91)</f>
        <v>0</v>
      </c>
      <c r="F72" s="31">
        <f>F20+F21+SUM(U72:U91)</f>
        <v>0</v>
      </c>
      <c r="G72" s="31">
        <f>G20+G21+SUM(V72:V91)</f>
        <v>0</v>
      </c>
      <c r="H72" s="31">
        <f>H20+H21+SUM(W72:W91)</f>
        <v>0</v>
      </c>
      <c r="I72" s="31">
        <f>I20+I21+SUM(X72:X91)</f>
        <v>0</v>
      </c>
      <c r="J72" s="11">
        <f>SUM(E72:I72)</f>
        <v>0</v>
      </c>
      <c r="K72" s="32">
        <f>D72+J72</f>
        <v>0</v>
      </c>
      <c r="L72" s="31">
        <f>L20+L21+SUM(Y72:Y91)</f>
        <v>0</v>
      </c>
      <c r="M72" s="31">
        <f>M20+M21+SUM(Z72:Z91)</f>
        <v>0</v>
      </c>
      <c r="N72" s="78">
        <f>SUM(K72:M72)</f>
        <v>0</v>
      </c>
      <c r="T72" s="198">
        <f t="shared" ref="T72:X75" si="14">IF(LEN($A8)=5,E8,0)</f>
        <v>0</v>
      </c>
      <c r="U72" s="198">
        <f t="shared" si="14"/>
        <v>0</v>
      </c>
      <c r="V72" s="198">
        <f t="shared" si="14"/>
        <v>0</v>
      </c>
      <c r="W72" s="198">
        <f t="shared" si="14"/>
        <v>0</v>
      </c>
      <c r="X72" s="198">
        <f t="shared" si="14"/>
        <v>0</v>
      </c>
      <c r="Y72" s="198">
        <f t="shared" ref="Y72:Z75" si="15">IF(LEN($A8)=5,L8,0)</f>
        <v>0</v>
      </c>
      <c r="Z72" s="198">
        <f t="shared" si="15"/>
        <v>0</v>
      </c>
    </row>
    <row r="73" spans="1:26" ht="12.95" customHeight="1">
      <c r="A73" s="156" t="str">
        <f>IF(UMYr1!A73&lt;&gt;"",UMYr1!A73,"")</f>
        <v/>
      </c>
      <c r="B73" s="940" t="s">
        <v>566</v>
      </c>
      <c r="C73" s="1038"/>
      <c r="D73" s="32">
        <f>Sponsor!E76</f>
        <v>0</v>
      </c>
      <c r="E73" s="31">
        <f>ROUND((E71-E72)*E66,0)</f>
        <v>0</v>
      </c>
      <c r="F73" s="31">
        <f>ROUND((F71-F72)*F66,0)</f>
        <v>0</v>
      </c>
      <c r="G73" s="31">
        <f>ROUND((G71-G72)*G66,0)</f>
        <v>0</v>
      </c>
      <c r="H73" s="31">
        <f>ROUND((H71-H72)*H66,0)</f>
        <v>0</v>
      </c>
      <c r="I73" s="31">
        <f>ROUND((I71-I72)*I66,0)</f>
        <v>0</v>
      </c>
      <c r="J73" s="11">
        <f>SUM(E73:I73)</f>
        <v>0</v>
      </c>
      <c r="K73" s="32">
        <f>D73+J73</f>
        <v>0</v>
      </c>
      <c r="L73" s="31">
        <f>ROUND((L71-L72)*L66,0)</f>
        <v>0</v>
      </c>
      <c r="M73" s="31">
        <f>ROUND((M71-M72)*M66,0)</f>
        <v>0</v>
      </c>
      <c r="N73" s="78">
        <f>SUM(K73:M73)</f>
        <v>0</v>
      </c>
      <c r="Q73" s="229"/>
      <c r="T73" s="198">
        <f t="shared" si="14"/>
        <v>0</v>
      </c>
      <c r="U73" s="198">
        <f t="shared" si="14"/>
        <v>0</v>
      </c>
      <c r="V73" s="198">
        <f t="shared" si="14"/>
        <v>0</v>
      </c>
      <c r="W73" s="198">
        <f t="shared" si="14"/>
        <v>0</v>
      </c>
      <c r="X73" s="198">
        <f t="shared" si="14"/>
        <v>0</v>
      </c>
      <c r="Y73" s="198">
        <f t="shared" si="15"/>
        <v>0</v>
      </c>
      <c r="Z73" s="198">
        <f t="shared" si="15"/>
        <v>0</v>
      </c>
    </row>
    <row r="74" spans="1:26" ht="12.95" customHeight="1">
      <c r="A74" s="156" t="str">
        <f>IF(UMYr1!A74&lt;&gt;"",UMYr1!A74,"")</f>
        <v/>
      </c>
      <c r="B74" s="925" t="s">
        <v>567</v>
      </c>
      <c r="C74" s="1063"/>
      <c r="D74" s="26">
        <f>Sponsor!E77</f>
        <v>0</v>
      </c>
      <c r="E74" s="34">
        <f>ROUND(E72*E67,0)</f>
        <v>0</v>
      </c>
      <c r="F74" s="34">
        <f>ROUND(F72*F67,0)</f>
        <v>0</v>
      </c>
      <c r="G74" s="34">
        <f>ROUND(G72*G67,0)</f>
        <v>0</v>
      </c>
      <c r="H74" s="34">
        <f>ROUND(H72*H67,0)</f>
        <v>0</v>
      </c>
      <c r="I74" s="34">
        <f>ROUND(I72*I67,0)</f>
        <v>0</v>
      </c>
      <c r="J74" s="290">
        <f>SUM(E74:I74)</f>
        <v>0</v>
      </c>
      <c r="K74" s="26">
        <f>D74+J74</f>
        <v>0</v>
      </c>
      <c r="L74" s="34">
        <f>ROUND(L72*L67,0)</f>
        <v>0</v>
      </c>
      <c r="M74" s="34">
        <f>ROUND(M72*M67,0)</f>
        <v>0</v>
      </c>
      <c r="N74" s="174">
        <f>SUM(K74:M74)</f>
        <v>0</v>
      </c>
      <c r="Q74" s="229"/>
      <c r="T74" s="198">
        <f t="shared" si="14"/>
        <v>0</v>
      </c>
      <c r="U74" s="198">
        <f t="shared" si="14"/>
        <v>0</v>
      </c>
      <c r="V74" s="198">
        <f t="shared" si="14"/>
        <v>0</v>
      </c>
      <c r="W74" s="198">
        <f t="shared" si="14"/>
        <v>0</v>
      </c>
      <c r="X74" s="198">
        <f t="shared" si="14"/>
        <v>0</v>
      </c>
      <c r="Y74" s="198">
        <f t="shared" si="15"/>
        <v>0</v>
      </c>
      <c r="Z74" s="198">
        <f t="shared" si="15"/>
        <v>0</v>
      </c>
    </row>
    <row r="75" spans="1:26" ht="12.95" customHeight="1" thickBot="1">
      <c r="A75" s="156" t="str">
        <f>IF(UMYr1!A75&lt;&gt;"",UMYr1!A75,"")</f>
        <v/>
      </c>
      <c r="B75" s="950" t="s">
        <v>568</v>
      </c>
      <c r="C75" s="1040"/>
      <c r="D75" s="182">
        <f>Sponsor!E78</f>
        <v>0</v>
      </c>
      <c r="E75" s="183">
        <f>E73+E74</f>
        <v>0</v>
      </c>
      <c r="F75" s="183">
        <f>F73+F74</f>
        <v>0</v>
      </c>
      <c r="G75" s="183">
        <f>G73+G74</f>
        <v>0</v>
      </c>
      <c r="H75" s="183">
        <f>H73+H74</f>
        <v>0</v>
      </c>
      <c r="I75" s="183">
        <f>I73+I74</f>
        <v>0</v>
      </c>
      <c r="J75" s="291">
        <f>SUM(E75:I75)</f>
        <v>0</v>
      </c>
      <c r="K75" s="182">
        <f>D75+J75</f>
        <v>0</v>
      </c>
      <c r="L75" s="183">
        <f>L73+L74</f>
        <v>0</v>
      </c>
      <c r="M75" s="183">
        <f>M73+M74</f>
        <v>0</v>
      </c>
      <c r="N75" s="185">
        <f>SUM(K75:M75)</f>
        <v>0</v>
      </c>
      <c r="Q75" s="229"/>
      <c r="T75" s="198">
        <f t="shared" si="14"/>
        <v>0</v>
      </c>
      <c r="U75" s="198">
        <f t="shared" si="14"/>
        <v>0</v>
      </c>
      <c r="V75" s="198">
        <f t="shared" si="14"/>
        <v>0</v>
      </c>
      <c r="W75" s="198">
        <f t="shared" si="14"/>
        <v>0</v>
      </c>
      <c r="X75" s="198">
        <f t="shared" si="14"/>
        <v>0</v>
      </c>
      <c r="Y75" s="198">
        <f t="shared" si="15"/>
        <v>0</v>
      </c>
      <c r="Z75" s="198">
        <f t="shared" si="15"/>
        <v>0</v>
      </c>
    </row>
    <row r="76" spans="1:26" ht="12.95" customHeight="1">
      <c r="A76" s="156" t="str">
        <f>IF(UMYr1!A76&lt;&gt;"",UMYr1!A76,"")</f>
        <v/>
      </c>
      <c r="B76" s="74" t="s">
        <v>569</v>
      </c>
      <c r="C76" s="230"/>
      <c r="D76" s="230"/>
      <c r="E76" s="230"/>
      <c r="F76" s="230"/>
      <c r="G76" s="230"/>
      <c r="H76" s="230"/>
      <c r="I76" s="230"/>
      <c r="J76" s="230"/>
      <c r="K76" s="230"/>
      <c r="L76" s="230"/>
      <c r="M76" s="230"/>
      <c r="N76" s="231"/>
      <c r="O76" s="134"/>
      <c r="P76" s="134"/>
      <c r="T76" s="198">
        <f t="shared" ref="T76:T91" si="16">IF(LEN($A86)=5,E86,0)</f>
        <v>0</v>
      </c>
      <c r="U76" s="198">
        <f t="shared" ref="U76:U91" si="17">IF(LEN($A86)=5,F86,0)</f>
        <v>0</v>
      </c>
      <c r="V76" s="198">
        <f t="shared" ref="V76:V91" si="18">IF(LEN($A86)=5,G86,0)</f>
        <v>0</v>
      </c>
      <c r="W76" s="198">
        <f t="shared" ref="W76:W91" si="19">IF(LEN($A86)=5,H86,0)</f>
        <v>0</v>
      </c>
      <c r="X76" s="198">
        <f t="shared" ref="X76:X91" si="20">IF(LEN($A86)=5,I86,0)</f>
        <v>0</v>
      </c>
      <c r="Y76" s="198">
        <f t="shared" ref="Y76:Y91" si="21">IF(LEN($A86)=5,L86,0)</f>
        <v>0</v>
      </c>
      <c r="Z76" s="198">
        <f t="shared" ref="Z76:Z91" si="22">IF(LEN($A86)=5,M86,0)</f>
        <v>0</v>
      </c>
    </row>
    <row r="77" spans="1:26" ht="12.95" customHeight="1">
      <c r="A77" s="156" t="str">
        <f>IF(UMYr1!A77&lt;&gt;"",UMYr1!A77,"")</f>
        <v/>
      </c>
      <c r="B77" s="953" t="s">
        <v>681</v>
      </c>
      <c r="C77" s="772"/>
      <c r="D77" s="665">
        <f>Sponsor!E80</f>
        <v>0</v>
      </c>
      <c r="E77" s="318"/>
      <c r="F77" s="28"/>
      <c r="G77" s="28"/>
      <c r="H77" s="28"/>
      <c r="I77" s="28"/>
      <c r="J77" s="28"/>
      <c r="K77" s="28"/>
      <c r="L77" s="28"/>
      <c r="M77" s="28"/>
      <c r="N77" s="172"/>
      <c r="T77" s="198">
        <f t="shared" si="16"/>
        <v>0</v>
      </c>
      <c r="U77" s="198">
        <f t="shared" si="17"/>
        <v>0</v>
      </c>
      <c r="V77" s="198">
        <f t="shared" si="18"/>
        <v>0</v>
      </c>
      <c r="W77" s="198">
        <f t="shared" si="19"/>
        <v>0</v>
      </c>
      <c r="X77" s="198">
        <f t="shared" si="20"/>
        <v>0</v>
      </c>
      <c r="Y77" s="198">
        <f t="shared" si="21"/>
        <v>0</v>
      </c>
      <c r="Z77" s="198">
        <f t="shared" si="22"/>
        <v>0</v>
      </c>
    </row>
    <row r="78" spans="1:26" ht="12.95" customHeight="1">
      <c r="A78" s="156" t="str">
        <f>IF(UMYr1!A78&lt;&gt;"",UMYr1!A78,"")</f>
        <v/>
      </c>
      <c r="B78" s="940" t="s">
        <v>542</v>
      </c>
      <c r="C78" s="1038"/>
      <c r="D78" s="31">
        <f>Sponsor!E81</f>
        <v>0</v>
      </c>
      <c r="E78" s="111">
        <f t="shared" ref="E78:L78" si="23">E53</f>
        <v>0</v>
      </c>
      <c r="F78" s="112">
        <f t="shared" si="23"/>
        <v>0</v>
      </c>
      <c r="G78" s="112">
        <f t="shared" si="23"/>
        <v>0</v>
      </c>
      <c r="H78" s="112">
        <f t="shared" si="23"/>
        <v>0</v>
      </c>
      <c r="I78" s="112">
        <f t="shared" si="23"/>
        <v>0</v>
      </c>
      <c r="J78" s="166">
        <f t="shared" si="23"/>
        <v>0</v>
      </c>
      <c r="K78" s="11">
        <f t="shared" si="23"/>
        <v>0</v>
      </c>
      <c r="L78" s="346">
        <f t="shared" si="23"/>
        <v>0</v>
      </c>
      <c r="M78" s="918" t="s">
        <v>658</v>
      </c>
      <c r="N78" s="78">
        <f t="shared" ref="N78:N109" si="24">SUM(K78:M78)</f>
        <v>0</v>
      </c>
      <c r="T78" s="198">
        <f t="shared" si="16"/>
        <v>0</v>
      </c>
      <c r="U78" s="198">
        <f t="shared" si="17"/>
        <v>0</v>
      </c>
      <c r="V78" s="198">
        <f t="shared" si="18"/>
        <v>0</v>
      </c>
      <c r="W78" s="198">
        <f t="shared" si="19"/>
        <v>0</v>
      </c>
      <c r="X78" s="198">
        <f t="shared" si="20"/>
        <v>0</v>
      </c>
      <c r="Y78" s="198">
        <f t="shared" si="21"/>
        <v>0</v>
      </c>
      <c r="Z78" s="198">
        <f t="shared" si="22"/>
        <v>0</v>
      </c>
    </row>
    <row r="79" spans="1:26" ht="12.95" customHeight="1">
      <c r="A79" s="156" t="str">
        <f>IF(UMYr1!A79&lt;&gt;"",UMYr1!A79,"")</f>
        <v/>
      </c>
      <c r="B79" s="940" t="s">
        <v>570</v>
      </c>
      <c r="C79" s="1038"/>
      <c r="D79" s="31">
        <f>Sponsor!E82</f>
        <v>0</v>
      </c>
      <c r="E79" s="111">
        <f t="shared" ref="E79:L79" si="25">-E31</f>
        <v>0</v>
      </c>
      <c r="F79" s="112">
        <f t="shared" si="25"/>
        <v>0</v>
      </c>
      <c r="G79" s="112">
        <f t="shared" si="25"/>
        <v>0</v>
      </c>
      <c r="H79" s="112">
        <f t="shared" si="25"/>
        <v>0</v>
      </c>
      <c r="I79" s="112">
        <f t="shared" si="25"/>
        <v>0</v>
      </c>
      <c r="J79" s="11">
        <f t="shared" si="25"/>
        <v>0</v>
      </c>
      <c r="K79" s="11">
        <f t="shared" si="25"/>
        <v>0</v>
      </c>
      <c r="L79" s="111">
        <f t="shared" si="25"/>
        <v>0</v>
      </c>
      <c r="M79" s="956"/>
      <c r="N79" s="78">
        <f t="shared" si="24"/>
        <v>0</v>
      </c>
      <c r="T79" s="198">
        <f t="shared" si="16"/>
        <v>0</v>
      </c>
      <c r="U79" s="198">
        <f t="shared" si="17"/>
        <v>0</v>
      </c>
      <c r="V79" s="198">
        <f t="shared" si="18"/>
        <v>0</v>
      </c>
      <c r="W79" s="198">
        <f t="shared" si="19"/>
        <v>0</v>
      </c>
      <c r="X79" s="198">
        <f t="shared" si="20"/>
        <v>0</v>
      </c>
      <c r="Y79" s="198">
        <f t="shared" si="21"/>
        <v>0</v>
      </c>
      <c r="Z79" s="198">
        <f t="shared" si="22"/>
        <v>0</v>
      </c>
    </row>
    <row r="80" spans="1:26" ht="12.95" customHeight="1">
      <c r="A80" s="156" t="str">
        <f>IF(UMYr1!A80&lt;&gt;"",UMYr1!A80,"")</f>
        <v/>
      </c>
      <c r="B80" s="940" t="s">
        <v>571</v>
      </c>
      <c r="C80" s="1038"/>
      <c r="D80" s="31">
        <f>Sponsor!E83</f>
        <v>0</v>
      </c>
      <c r="E80" s="111">
        <f>-E42</f>
        <v>0</v>
      </c>
      <c r="F80" s="112">
        <f>-F42</f>
        <v>0</v>
      </c>
      <c r="G80" s="112">
        <f>-G42</f>
        <v>0</v>
      </c>
      <c r="H80" s="112">
        <f>-H42</f>
        <v>0</v>
      </c>
      <c r="I80" s="112">
        <f>-I42</f>
        <v>0</v>
      </c>
      <c r="J80" s="11">
        <f>SUM(E80:I80)</f>
        <v>0</v>
      </c>
      <c r="K80" s="11">
        <f>-K42</f>
        <v>0</v>
      </c>
      <c r="L80" s="111">
        <f>-L42</f>
        <v>0</v>
      </c>
      <c r="M80" s="956"/>
      <c r="N80" s="78">
        <f t="shared" si="24"/>
        <v>0</v>
      </c>
      <c r="T80" s="198">
        <f t="shared" si="16"/>
        <v>0</v>
      </c>
      <c r="U80" s="198">
        <f t="shared" si="17"/>
        <v>0</v>
      </c>
      <c r="V80" s="198">
        <f t="shared" si="18"/>
        <v>0</v>
      </c>
      <c r="W80" s="198">
        <f t="shared" si="19"/>
        <v>0</v>
      </c>
      <c r="X80" s="198">
        <f t="shared" si="20"/>
        <v>0</v>
      </c>
      <c r="Y80" s="198">
        <f t="shared" si="21"/>
        <v>0</v>
      </c>
      <c r="Z80" s="198">
        <f t="shared" si="22"/>
        <v>0</v>
      </c>
    </row>
    <row r="81" spans="1:26" ht="12.95" customHeight="1">
      <c r="A81" s="156" t="str">
        <f>IF(UMYr1!A81&lt;&gt;"",UMYr1!A81,"")</f>
        <v/>
      </c>
      <c r="B81" s="940" t="s">
        <v>572</v>
      </c>
      <c r="C81" s="1038"/>
      <c r="D81" s="31">
        <f>Sponsor!E84</f>
        <v>0</v>
      </c>
      <c r="E81" s="111">
        <f t="shared" ref="E81:K81" si="26">-E49</f>
        <v>0</v>
      </c>
      <c r="F81" s="112">
        <f t="shared" si="26"/>
        <v>0</v>
      </c>
      <c r="G81" s="112">
        <f t="shared" si="26"/>
        <v>0</v>
      </c>
      <c r="H81" s="112">
        <f t="shared" si="26"/>
        <v>0</v>
      </c>
      <c r="I81" s="112">
        <f t="shared" si="26"/>
        <v>0</v>
      </c>
      <c r="J81" s="11">
        <f t="shared" si="26"/>
        <v>0</v>
      </c>
      <c r="K81" s="11">
        <f t="shared" si="26"/>
        <v>0</v>
      </c>
      <c r="L81" s="111">
        <f>-L49</f>
        <v>0</v>
      </c>
      <c r="M81" s="956"/>
      <c r="N81" s="78">
        <f t="shared" si="24"/>
        <v>0</v>
      </c>
      <c r="T81" s="198">
        <f t="shared" si="16"/>
        <v>0</v>
      </c>
      <c r="U81" s="198">
        <f t="shared" si="17"/>
        <v>0</v>
      </c>
      <c r="V81" s="198">
        <f t="shared" si="18"/>
        <v>0</v>
      </c>
      <c r="W81" s="198">
        <f t="shared" si="19"/>
        <v>0</v>
      </c>
      <c r="X81" s="198">
        <f t="shared" si="20"/>
        <v>0</v>
      </c>
      <c r="Y81" s="198">
        <f t="shared" si="21"/>
        <v>0</v>
      </c>
      <c r="Z81" s="198">
        <f t="shared" si="22"/>
        <v>0</v>
      </c>
    </row>
    <row r="82" spans="1:26" ht="12.95" customHeight="1">
      <c r="A82" s="156" t="str">
        <f>IF(UMYr1!A82&lt;&gt;"",UMYr1!A82,"")</f>
        <v/>
      </c>
      <c r="B82" s="317"/>
      <c r="C82" s="233" t="s">
        <v>573</v>
      </c>
      <c r="D82" s="23">
        <f>Sponsor!E85</f>
        <v>0</v>
      </c>
      <c r="E82" s="165" t="s">
        <v>658</v>
      </c>
      <c r="F82" s="129" t="s">
        <v>658</v>
      </c>
      <c r="G82" s="129" t="s">
        <v>658</v>
      </c>
      <c r="H82" s="129" t="s">
        <v>658</v>
      </c>
      <c r="I82" s="129" t="s">
        <v>658</v>
      </c>
      <c r="J82" s="43">
        <f>-UMYr1!U142</f>
        <v>0</v>
      </c>
      <c r="K82" s="11">
        <f>D82+J82</f>
        <v>0</v>
      </c>
      <c r="L82" s="385" t="s">
        <v>658</v>
      </c>
      <c r="M82" s="956"/>
      <c r="N82" s="173">
        <f>K82</f>
        <v>0</v>
      </c>
      <c r="T82" s="198">
        <f t="shared" si="16"/>
        <v>0</v>
      </c>
      <c r="U82" s="198">
        <f t="shared" si="17"/>
        <v>0</v>
      </c>
      <c r="V82" s="198">
        <f t="shared" si="18"/>
        <v>0</v>
      </c>
      <c r="W82" s="198">
        <f t="shared" si="19"/>
        <v>0</v>
      </c>
      <c r="X82" s="198">
        <f t="shared" si="20"/>
        <v>0</v>
      </c>
      <c r="Y82" s="198">
        <f t="shared" si="21"/>
        <v>0</v>
      </c>
      <c r="Z82" s="198">
        <f t="shared" si="22"/>
        <v>0</v>
      </c>
    </row>
    <row r="83" spans="1:26" ht="12.95" customHeight="1">
      <c r="A83" s="156" t="str">
        <f>IF(UMYr1!A83&lt;&gt;"",UMYr1!A83,"")</f>
        <v/>
      </c>
      <c r="B83" s="955" t="s">
        <v>670</v>
      </c>
      <c r="C83" s="1038"/>
      <c r="D83" s="114">
        <f>Sponsor!E86</f>
        <v>0</v>
      </c>
      <c r="E83" s="65"/>
      <c r="F83" s="8"/>
      <c r="G83" s="8"/>
      <c r="H83" s="8"/>
      <c r="I83" s="8"/>
      <c r="J83" s="113">
        <f>SUM(E83:I83)</f>
        <v>0</v>
      </c>
      <c r="K83" s="11">
        <f>D83+J83</f>
        <v>0</v>
      </c>
      <c r="L83" s="275"/>
      <c r="M83" s="956"/>
      <c r="N83" s="173">
        <f t="shared" si="24"/>
        <v>0</v>
      </c>
      <c r="T83" s="198">
        <f t="shared" si="16"/>
        <v>0</v>
      </c>
      <c r="U83" s="198">
        <f t="shared" si="17"/>
        <v>0</v>
      </c>
      <c r="V83" s="198">
        <f t="shared" si="18"/>
        <v>0</v>
      </c>
      <c r="W83" s="198">
        <f t="shared" si="19"/>
        <v>0</v>
      </c>
      <c r="X83" s="198">
        <f t="shared" si="20"/>
        <v>0</v>
      </c>
      <c r="Y83" s="198">
        <f t="shared" si="21"/>
        <v>0</v>
      </c>
      <c r="Z83" s="198">
        <f t="shared" si="22"/>
        <v>0</v>
      </c>
    </row>
    <row r="84" spans="1:26" s="235" customFormat="1" ht="12.95" customHeight="1" thickBot="1">
      <c r="A84" s="234" t="str">
        <f>IF(UMYr1!A84&lt;&gt;"",UMYr1!A84,"")</f>
        <v/>
      </c>
      <c r="B84" s="950" t="s">
        <v>575</v>
      </c>
      <c r="C84" s="1040"/>
      <c r="D84" s="71">
        <f>Sponsor!E87</f>
        <v>0</v>
      </c>
      <c r="E84" s="99">
        <f t="shared" ref="E84:M84" si="27">IF($D$77="TDC",E53,SUM(E78:E83))</f>
        <v>0</v>
      </c>
      <c r="F84" s="128">
        <f t="shared" si="27"/>
        <v>0</v>
      </c>
      <c r="G84" s="128">
        <f t="shared" si="27"/>
        <v>0</v>
      </c>
      <c r="H84" s="128">
        <f t="shared" si="27"/>
        <v>0</v>
      </c>
      <c r="I84" s="128">
        <f t="shared" si="27"/>
        <v>0</v>
      </c>
      <c r="J84" s="293">
        <f t="shared" si="27"/>
        <v>0</v>
      </c>
      <c r="K84" s="71">
        <f t="shared" si="27"/>
        <v>0</v>
      </c>
      <c r="L84" s="99">
        <f t="shared" si="27"/>
        <v>0</v>
      </c>
      <c r="M84" s="99">
        <f t="shared" si="27"/>
        <v>0</v>
      </c>
      <c r="N84" s="79">
        <f t="shared" si="24"/>
        <v>0</v>
      </c>
      <c r="O84"/>
      <c r="P84"/>
      <c r="T84" s="450">
        <f t="shared" si="16"/>
        <v>0</v>
      </c>
      <c r="U84" s="450">
        <f t="shared" si="17"/>
        <v>0</v>
      </c>
      <c r="V84" s="450">
        <f t="shared" si="18"/>
        <v>0</v>
      </c>
      <c r="W84" s="450">
        <f t="shared" si="19"/>
        <v>0</v>
      </c>
      <c r="X84" s="450">
        <f t="shared" si="20"/>
        <v>0</v>
      </c>
      <c r="Y84" s="450">
        <f t="shared" si="21"/>
        <v>0</v>
      </c>
      <c r="Z84" s="450">
        <f t="shared" si="22"/>
        <v>0</v>
      </c>
    </row>
    <row r="85" spans="1:26" ht="12.95" customHeight="1">
      <c r="A85" s="665" t="str">
        <f>IF(UMYr1!A85&lt;&gt;"",UMYr1!A85,"")</f>
        <v/>
      </c>
      <c r="B85" s="84" t="str">
        <f>IF(UMYr1!B85="","",UMYr1!B85)</f>
        <v>ADDITIONAL SENIOR PERSONNEL - names and account codes must be entered in Sponsor tab</v>
      </c>
      <c r="C85" s="230"/>
      <c r="D85" s="230"/>
      <c r="E85" s="230"/>
      <c r="F85" s="230"/>
      <c r="G85" s="230"/>
      <c r="H85" s="230"/>
      <c r="I85" s="230"/>
      <c r="J85" s="230"/>
      <c r="K85" s="230"/>
      <c r="L85" s="230"/>
      <c r="M85" s="230"/>
      <c r="N85" s="231"/>
      <c r="T85" s="198">
        <f t="shared" si="16"/>
        <v>0</v>
      </c>
      <c r="U85" s="198">
        <f t="shared" si="17"/>
        <v>0</v>
      </c>
      <c r="V85" s="198">
        <f t="shared" si="18"/>
        <v>0</v>
      </c>
      <c r="W85" s="198">
        <f t="shared" si="19"/>
        <v>0</v>
      </c>
      <c r="X85" s="198">
        <f t="shared" si="20"/>
        <v>0</v>
      </c>
      <c r="Y85" s="198">
        <f t="shared" si="21"/>
        <v>0</v>
      </c>
      <c r="Z85" s="198">
        <f t="shared" si="22"/>
        <v>0</v>
      </c>
    </row>
    <row r="86" spans="1:26" ht="12.95" customHeight="1">
      <c r="A86" s="679" t="str">
        <f>IF(UMYr1!A86&lt;&gt;"",UMYr1!A86,"")</f>
        <v/>
      </c>
      <c r="B86" s="85" t="str">
        <f>UMYr1!B86</f>
        <v/>
      </c>
      <c r="C86" s="680" t="str">
        <f>IF(UMYr1!C86="","",UMYr1!C86)</f>
        <v/>
      </c>
      <c r="D86" s="105">
        <f>Sponsor!E89</f>
        <v>0</v>
      </c>
      <c r="E86" s="64"/>
      <c r="F86" s="7"/>
      <c r="G86" s="7"/>
      <c r="H86" s="7"/>
      <c r="I86" s="7"/>
      <c r="J86" s="289">
        <f t="shared" ref="J86:J101" si="28">SUM(E86:I86)</f>
        <v>0</v>
      </c>
      <c r="K86" s="30">
        <f t="shared" ref="K86:K101" si="29">D86+J86</f>
        <v>0</v>
      </c>
      <c r="L86" s="7"/>
      <c r="M86" s="7"/>
      <c r="N86" s="77">
        <f t="shared" si="24"/>
        <v>0</v>
      </c>
      <c r="T86" s="198">
        <f t="shared" si="16"/>
        <v>0</v>
      </c>
      <c r="U86" s="198">
        <f t="shared" si="17"/>
        <v>0</v>
      </c>
      <c r="V86" s="198">
        <f t="shared" si="18"/>
        <v>0</v>
      </c>
      <c r="W86" s="198">
        <f t="shared" si="19"/>
        <v>0</v>
      </c>
      <c r="X86" s="198">
        <f t="shared" si="20"/>
        <v>0</v>
      </c>
      <c r="Y86" s="198">
        <f t="shared" si="21"/>
        <v>0</v>
      </c>
      <c r="Z86" s="198">
        <f t="shared" si="22"/>
        <v>0</v>
      </c>
    </row>
    <row r="87" spans="1:26" ht="12.95" customHeight="1">
      <c r="A87" s="679" t="str">
        <f>IF(UMYr1!A87&lt;&gt;"",UMYr1!A87,"")</f>
        <v/>
      </c>
      <c r="B87" s="85" t="str">
        <f>UMYr1!B87</f>
        <v/>
      </c>
      <c r="C87" s="680" t="str">
        <f>IF(UMYr1!C87="","",UMYr1!C87)</f>
        <v/>
      </c>
      <c r="D87" s="106">
        <f>Sponsor!E90</f>
        <v>0</v>
      </c>
      <c r="E87" s="65"/>
      <c r="F87" s="8"/>
      <c r="G87" s="8"/>
      <c r="H87" s="8"/>
      <c r="I87" s="8"/>
      <c r="J87" s="11">
        <f t="shared" si="28"/>
        <v>0</v>
      </c>
      <c r="K87" s="32">
        <f t="shared" si="29"/>
        <v>0</v>
      </c>
      <c r="L87" s="8"/>
      <c r="M87" s="8"/>
      <c r="N87" s="78">
        <f t="shared" si="24"/>
        <v>0</v>
      </c>
      <c r="T87" s="198">
        <f t="shared" si="16"/>
        <v>0</v>
      </c>
      <c r="U87" s="198">
        <f t="shared" si="17"/>
        <v>0</v>
      </c>
      <c r="V87" s="198">
        <f t="shared" si="18"/>
        <v>0</v>
      </c>
      <c r="W87" s="198">
        <f t="shared" si="19"/>
        <v>0</v>
      </c>
      <c r="X87" s="198">
        <f t="shared" si="20"/>
        <v>0</v>
      </c>
      <c r="Y87" s="198">
        <f t="shared" si="21"/>
        <v>0</v>
      </c>
      <c r="Z87" s="198">
        <f t="shared" si="22"/>
        <v>0</v>
      </c>
    </row>
    <row r="88" spans="1:26" ht="12.95" customHeight="1">
      <c r="A88" s="679" t="str">
        <f>IF(UMYr1!A88&lt;&gt;"",UMYr1!A88,"")</f>
        <v/>
      </c>
      <c r="B88" s="85" t="str">
        <f>UMYr1!B88</f>
        <v/>
      </c>
      <c r="C88" s="680" t="str">
        <f>IF(UMYr1!C88="","",UMYr1!C88)</f>
        <v/>
      </c>
      <c r="D88" s="106">
        <f>Sponsor!E91</f>
        <v>0</v>
      </c>
      <c r="E88" s="65"/>
      <c r="F88" s="8"/>
      <c r="G88" s="8"/>
      <c r="H88" s="8"/>
      <c r="I88" s="8"/>
      <c r="J88" s="11">
        <f t="shared" si="28"/>
        <v>0</v>
      </c>
      <c r="K88" s="32">
        <f t="shared" si="29"/>
        <v>0</v>
      </c>
      <c r="L88" s="8"/>
      <c r="M88" s="8"/>
      <c r="N88" s="78">
        <f t="shared" si="24"/>
        <v>0</v>
      </c>
      <c r="T88" s="198">
        <f t="shared" si="16"/>
        <v>0</v>
      </c>
      <c r="U88" s="198">
        <f t="shared" si="17"/>
        <v>0</v>
      </c>
      <c r="V88" s="198">
        <f t="shared" si="18"/>
        <v>0</v>
      </c>
      <c r="W88" s="198">
        <f t="shared" si="19"/>
        <v>0</v>
      </c>
      <c r="X88" s="198">
        <f t="shared" si="20"/>
        <v>0</v>
      </c>
      <c r="Y88" s="198">
        <f t="shared" si="21"/>
        <v>0</v>
      </c>
      <c r="Z88" s="198">
        <f t="shared" si="22"/>
        <v>0</v>
      </c>
    </row>
    <row r="89" spans="1:26" ht="12.95" customHeight="1">
      <c r="A89" s="679" t="str">
        <f>IF(UMYr1!A89&lt;&gt;"",UMYr1!A89,"")</f>
        <v/>
      </c>
      <c r="B89" s="85" t="str">
        <f>UMYr1!B89</f>
        <v/>
      </c>
      <c r="C89" s="680" t="str">
        <f>IF(UMYr1!C89="","",UMYr1!C89)</f>
        <v/>
      </c>
      <c r="D89" s="106">
        <f>Sponsor!E92</f>
        <v>0</v>
      </c>
      <c r="E89" s="65"/>
      <c r="F89" s="8"/>
      <c r="G89" s="8"/>
      <c r="H89" s="8"/>
      <c r="I89" s="8"/>
      <c r="J89" s="11">
        <f t="shared" si="28"/>
        <v>0</v>
      </c>
      <c r="K89" s="32">
        <f t="shared" si="29"/>
        <v>0</v>
      </c>
      <c r="L89" s="8"/>
      <c r="M89" s="8"/>
      <c r="N89" s="78">
        <f t="shared" si="24"/>
        <v>0</v>
      </c>
      <c r="T89" s="198">
        <f t="shared" si="16"/>
        <v>0</v>
      </c>
      <c r="U89" s="198">
        <f t="shared" si="17"/>
        <v>0</v>
      </c>
      <c r="V89" s="198">
        <f t="shared" si="18"/>
        <v>0</v>
      </c>
      <c r="W89" s="198">
        <f t="shared" si="19"/>
        <v>0</v>
      </c>
      <c r="X89" s="198">
        <f t="shared" si="20"/>
        <v>0</v>
      </c>
      <c r="Y89" s="198">
        <f t="shared" si="21"/>
        <v>0</v>
      </c>
      <c r="Z89" s="198">
        <f t="shared" si="22"/>
        <v>0</v>
      </c>
    </row>
    <row r="90" spans="1:26" ht="12.95" customHeight="1">
      <c r="A90" s="679" t="str">
        <f>IF(UMYr1!A90&lt;&gt;"",UMYr1!A90,"")</f>
        <v/>
      </c>
      <c r="B90" s="85" t="str">
        <f>UMYr1!B90</f>
        <v/>
      </c>
      <c r="C90" s="680" t="str">
        <f>IF(UMYr1!C90="","",UMYr1!C90)</f>
        <v/>
      </c>
      <c r="D90" s="106">
        <f>Sponsor!E93</f>
        <v>0</v>
      </c>
      <c r="E90" s="65"/>
      <c r="F90" s="8"/>
      <c r="G90" s="8"/>
      <c r="H90" s="8"/>
      <c r="I90" s="8"/>
      <c r="J90" s="11">
        <f t="shared" si="28"/>
        <v>0</v>
      </c>
      <c r="K90" s="32">
        <f t="shared" si="29"/>
        <v>0</v>
      </c>
      <c r="L90" s="8"/>
      <c r="M90" s="8"/>
      <c r="N90" s="78">
        <f t="shared" si="24"/>
        <v>0</v>
      </c>
      <c r="T90" s="198">
        <f t="shared" si="16"/>
        <v>0</v>
      </c>
      <c r="U90" s="198">
        <f t="shared" si="17"/>
        <v>0</v>
      </c>
      <c r="V90" s="198">
        <f t="shared" si="18"/>
        <v>0</v>
      </c>
      <c r="W90" s="198">
        <f t="shared" si="19"/>
        <v>0</v>
      </c>
      <c r="X90" s="198">
        <f t="shared" si="20"/>
        <v>0</v>
      </c>
      <c r="Y90" s="198">
        <f t="shared" si="21"/>
        <v>0</v>
      </c>
      <c r="Z90" s="198">
        <f t="shared" si="22"/>
        <v>0</v>
      </c>
    </row>
    <row r="91" spans="1:26" ht="12.95" customHeight="1">
      <c r="A91" s="679" t="str">
        <f>IF(UMYr1!A91&lt;&gt;"",UMYr1!A91,"")</f>
        <v/>
      </c>
      <c r="B91" s="85" t="str">
        <f>UMYr1!B91</f>
        <v/>
      </c>
      <c r="C91" s="680" t="str">
        <f>IF(UMYr1!C91="","",UMYr1!C91)</f>
        <v/>
      </c>
      <c r="D91" s="106">
        <f>Sponsor!E94</f>
        <v>0</v>
      </c>
      <c r="E91" s="65"/>
      <c r="F91" s="8"/>
      <c r="G91" s="8"/>
      <c r="H91" s="8"/>
      <c r="I91" s="8"/>
      <c r="J91" s="11">
        <f t="shared" si="28"/>
        <v>0</v>
      </c>
      <c r="K91" s="32">
        <f t="shared" si="29"/>
        <v>0</v>
      </c>
      <c r="L91" s="8"/>
      <c r="M91" s="8"/>
      <c r="N91" s="78">
        <f t="shared" si="24"/>
        <v>0</v>
      </c>
      <c r="T91" s="198">
        <f t="shared" si="16"/>
        <v>0</v>
      </c>
      <c r="U91" s="198">
        <f t="shared" si="17"/>
        <v>0</v>
      </c>
      <c r="V91" s="198">
        <f t="shared" si="18"/>
        <v>0</v>
      </c>
      <c r="W91" s="198">
        <f t="shared" si="19"/>
        <v>0</v>
      </c>
      <c r="X91" s="198">
        <f t="shared" si="20"/>
        <v>0</v>
      </c>
      <c r="Y91" s="198">
        <f t="shared" si="21"/>
        <v>0</v>
      </c>
      <c r="Z91" s="198">
        <f t="shared" si="22"/>
        <v>0</v>
      </c>
    </row>
    <row r="92" spans="1:26" ht="12.95" customHeight="1">
      <c r="A92" s="679" t="str">
        <f>IF(UMYr1!A92&lt;&gt;"",UMYr1!A92,"")</f>
        <v/>
      </c>
      <c r="B92" s="85" t="str">
        <f>UMYr1!B92</f>
        <v/>
      </c>
      <c r="C92" s="680" t="str">
        <f>IF(UMYr1!C92="","",UMYr1!C92)</f>
        <v/>
      </c>
      <c r="D92" s="106">
        <f>Sponsor!E95</f>
        <v>0</v>
      </c>
      <c r="E92" s="65"/>
      <c r="F92" s="8"/>
      <c r="G92" s="8"/>
      <c r="H92" s="8"/>
      <c r="I92" s="8"/>
      <c r="J92" s="11">
        <f t="shared" si="28"/>
        <v>0</v>
      </c>
      <c r="K92" s="32">
        <f t="shared" si="29"/>
        <v>0</v>
      </c>
      <c r="L92" s="8"/>
      <c r="M92" s="8"/>
      <c r="N92" s="78">
        <f t="shared" si="24"/>
        <v>0</v>
      </c>
    </row>
    <row r="93" spans="1:26" ht="12.95" customHeight="1">
      <c r="A93" s="679" t="str">
        <f>IF(UMYr1!A93&lt;&gt;"",UMYr1!A93,"")</f>
        <v/>
      </c>
      <c r="B93" s="85" t="str">
        <f>UMYr1!B93</f>
        <v/>
      </c>
      <c r="C93" s="680" t="str">
        <f>IF(UMYr1!C93="","",UMYr1!C93)</f>
        <v/>
      </c>
      <c r="D93" s="106">
        <f>Sponsor!E96</f>
        <v>0</v>
      </c>
      <c r="E93" s="65"/>
      <c r="F93" s="8"/>
      <c r="G93" s="8"/>
      <c r="H93" s="8"/>
      <c r="I93" s="8"/>
      <c r="J93" s="11">
        <f t="shared" si="28"/>
        <v>0</v>
      </c>
      <c r="K93" s="32">
        <f t="shared" si="29"/>
        <v>0</v>
      </c>
      <c r="L93" s="8"/>
      <c r="M93" s="8"/>
      <c r="N93" s="78">
        <f t="shared" si="24"/>
        <v>0</v>
      </c>
    </row>
    <row r="94" spans="1:26" ht="12.95" customHeight="1">
      <c r="A94" s="679" t="str">
        <f>IF(UMYr1!A94&lt;&gt;"",UMYr1!A94,"")</f>
        <v/>
      </c>
      <c r="B94" s="85" t="str">
        <f>UMYr1!B94</f>
        <v/>
      </c>
      <c r="C94" s="680" t="str">
        <f>IF(UMYr1!C94="","",UMYr1!C94)</f>
        <v/>
      </c>
      <c r="D94" s="106">
        <f>Sponsor!E97</f>
        <v>0</v>
      </c>
      <c r="E94" s="65"/>
      <c r="F94" s="8"/>
      <c r="G94" s="8"/>
      <c r="H94" s="8"/>
      <c r="I94" s="8"/>
      <c r="J94" s="11">
        <f t="shared" si="28"/>
        <v>0</v>
      </c>
      <c r="K94" s="32">
        <f t="shared" si="29"/>
        <v>0</v>
      </c>
      <c r="L94" s="8"/>
      <c r="M94" s="8"/>
      <c r="N94" s="78">
        <f t="shared" si="24"/>
        <v>0</v>
      </c>
    </row>
    <row r="95" spans="1:26" ht="12.95" customHeight="1">
      <c r="A95" s="679" t="str">
        <f>IF(UMYr1!A95&lt;&gt;"",UMYr1!A95,"")</f>
        <v/>
      </c>
      <c r="B95" s="85" t="str">
        <f>UMYr1!B95</f>
        <v/>
      </c>
      <c r="C95" s="680" t="str">
        <f>IF(UMYr1!C95="","",UMYr1!C95)</f>
        <v/>
      </c>
      <c r="D95" s="106">
        <f>Sponsor!E98</f>
        <v>0</v>
      </c>
      <c r="E95" s="65"/>
      <c r="F95" s="8"/>
      <c r="G95" s="8"/>
      <c r="H95" s="8"/>
      <c r="I95" s="8"/>
      <c r="J95" s="11">
        <f t="shared" si="28"/>
        <v>0</v>
      </c>
      <c r="K95" s="32">
        <f t="shared" si="29"/>
        <v>0</v>
      </c>
      <c r="L95" s="8"/>
      <c r="M95" s="8"/>
      <c r="N95" s="78">
        <f t="shared" si="24"/>
        <v>0</v>
      </c>
    </row>
    <row r="96" spans="1:26" ht="12.95" customHeight="1">
      <c r="A96" s="679" t="str">
        <f>IF(UMYr1!A96&lt;&gt;"",UMYr1!A96,"")</f>
        <v/>
      </c>
      <c r="B96" s="85" t="str">
        <f>UMYr1!B96</f>
        <v/>
      </c>
      <c r="C96" s="680" t="str">
        <f>IF(UMYr1!C96="","",UMYr1!C96)</f>
        <v/>
      </c>
      <c r="D96" s="106">
        <f>Sponsor!E99</f>
        <v>0</v>
      </c>
      <c r="E96" s="65"/>
      <c r="F96" s="8"/>
      <c r="G96" s="8"/>
      <c r="H96" s="8"/>
      <c r="I96" s="8"/>
      <c r="J96" s="11">
        <f t="shared" si="28"/>
        <v>0</v>
      </c>
      <c r="K96" s="32">
        <f t="shared" si="29"/>
        <v>0</v>
      </c>
      <c r="L96" s="8"/>
      <c r="M96" s="8"/>
      <c r="N96" s="78">
        <f t="shared" si="24"/>
        <v>0</v>
      </c>
      <c r="O96" s="135"/>
      <c r="P96" s="135"/>
    </row>
    <row r="97" spans="1:18" ht="12.95" customHeight="1">
      <c r="A97" s="679" t="str">
        <f>IF(UMYr1!A97&lt;&gt;"",UMYr1!A97,"")</f>
        <v/>
      </c>
      <c r="B97" s="85" t="str">
        <f>UMYr1!B97</f>
        <v/>
      </c>
      <c r="C97" s="680" t="str">
        <f>IF(UMYr1!C97="","",UMYr1!C97)</f>
        <v/>
      </c>
      <c r="D97" s="106">
        <f>Sponsor!E100</f>
        <v>0</v>
      </c>
      <c r="E97" s="65"/>
      <c r="F97" s="8"/>
      <c r="G97" s="8"/>
      <c r="H97" s="8"/>
      <c r="I97" s="8"/>
      <c r="J97" s="11">
        <f t="shared" si="28"/>
        <v>0</v>
      </c>
      <c r="K97" s="32">
        <f t="shared" si="29"/>
        <v>0</v>
      </c>
      <c r="L97" s="8"/>
      <c r="M97" s="8"/>
      <c r="N97" s="78">
        <f t="shared" si="24"/>
        <v>0</v>
      </c>
      <c r="O97" s="225"/>
      <c r="P97" s="225"/>
    </row>
    <row r="98" spans="1:18" ht="12.95" customHeight="1">
      <c r="A98" s="679" t="str">
        <f>IF(UMYr1!A98&lt;&gt;"",UMYr1!A98,"")</f>
        <v/>
      </c>
      <c r="B98" s="85" t="str">
        <f>UMYr1!B98</f>
        <v/>
      </c>
      <c r="C98" s="680" t="str">
        <f>IF(UMYr1!C98="","",UMYr1!C98)</f>
        <v/>
      </c>
      <c r="D98" s="106">
        <f>Sponsor!E101</f>
        <v>0</v>
      </c>
      <c r="E98" s="65"/>
      <c r="F98" s="8"/>
      <c r="G98" s="8"/>
      <c r="H98" s="8"/>
      <c r="I98" s="8"/>
      <c r="J98" s="11">
        <f t="shared" si="28"/>
        <v>0</v>
      </c>
      <c r="K98" s="32">
        <f t="shared" si="29"/>
        <v>0</v>
      </c>
      <c r="L98" s="8"/>
      <c r="M98" s="8"/>
      <c r="N98" s="78">
        <f t="shared" si="24"/>
        <v>0</v>
      </c>
      <c r="O98" s="237"/>
      <c r="P98" s="237"/>
    </row>
    <row r="99" spans="1:18" ht="12.95" customHeight="1">
      <c r="A99" s="679" t="str">
        <f>IF(UMYr1!A99&lt;&gt;"",UMYr1!A99,"")</f>
        <v/>
      </c>
      <c r="B99" s="85" t="str">
        <f>UMYr1!B99</f>
        <v/>
      </c>
      <c r="C99" s="680" t="str">
        <f>IF(UMYr1!C99="","",UMYr1!C99)</f>
        <v/>
      </c>
      <c r="D99" s="106">
        <f>Sponsor!E102</f>
        <v>0</v>
      </c>
      <c r="E99" s="65"/>
      <c r="F99" s="8"/>
      <c r="G99" s="8"/>
      <c r="H99" s="8"/>
      <c r="I99" s="8"/>
      <c r="J99" s="11">
        <f t="shared" si="28"/>
        <v>0</v>
      </c>
      <c r="K99" s="32">
        <f t="shared" si="29"/>
        <v>0</v>
      </c>
      <c r="L99" s="8"/>
      <c r="M99" s="8"/>
      <c r="N99" s="78">
        <f t="shared" si="24"/>
        <v>0</v>
      </c>
      <c r="O99" s="237"/>
      <c r="P99" s="237"/>
    </row>
    <row r="100" spans="1:18" ht="12.95" customHeight="1">
      <c r="A100" s="679" t="str">
        <f>IF(UMYr1!A100&lt;&gt;"",UMYr1!A100,"")</f>
        <v/>
      </c>
      <c r="B100" s="85" t="str">
        <f>UMYr1!B100</f>
        <v/>
      </c>
      <c r="C100" s="680" t="str">
        <f>IF(UMYr1!C100="","",UMYr1!C100)</f>
        <v/>
      </c>
      <c r="D100" s="106">
        <f>Sponsor!E103</f>
        <v>0</v>
      </c>
      <c r="E100" s="65"/>
      <c r="F100" s="8"/>
      <c r="G100" s="8"/>
      <c r="H100" s="8"/>
      <c r="I100" s="8"/>
      <c r="J100" s="11">
        <f t="shared" si="28"/>
        <v>0</v>
      </c>
      <c r="K100" s="32">
        <f t="shared" si="29"/>
        <v>0</v>
      </c>
      <c r="L100" s="8"/>
      <c r="M100" s="8"/>
      <c r="N100" s="78">
        <f t="shared" si="24"/>
        <v>0</v>
      </c>
      <c r="O100" s="237"/>
      <c r="P100" s="237"/>
    </row>
    <row r="101" spans="1:18" ht="12.95" customHeight="1">
      <c r="A101" s="679" t="str">
        <f>IF(UMYr1!A101&lt;&gt;"",UMYr1!A101,"")</f>
        <v/>
      </c>
      <c r="B101" s="85" t="str">
        <f>UMYr1!B101</f>
        <v/>
      </c>
      <c r="C101" s="680" t="str">
        <f>IF(UMYr1!C101="","",UMYr1!C101)</f>
        <v/>
      </c>
      <c r="D101" s="106">
        <f>Sponsor!E104</f>
        <v>0</v>
      </c>
      <c r="E101" s="95"/>
      <c r="F101" s="157"/>
      <c r="G101" s="157"/>
      <c r="H101" s="157"/>
      <c r="I101" s="157"/>
      <c r="J101" s="299">
        <f t="shared" si="28"/>
        <v>0</v>
      </c>
      <c r="K101" s="32">
        <f t="shared" si="29"/>
        <v>0</v>
      </c>
      <c r="L101" s="8"/>
      <c r="M101" s="8"/>
      <c r="N101" s="94">
        <f t="shared" si="24"/>
        <v>0</v>
      </c>
      <c r="O101" s="237"/>
      <c r="P101" s="237"/>
    </row>
    <row r="102" spans="1:18" ht="12.95" customHeight="1" thickBot="1">
      <c r="A102" s="199" t="str">
        <f>IF(UMYr1!A102&lt;&gt;"",UMYr1!A102,"")</f>
        <v/>
      </c>
      <c r="B102" s="768" t="s">
        <v>672</v>
      </c>
      <c r="C102" s="768"/>
      <c r="D102" s="71">
        <f>Sponsor!E105</f>
        <v>0</v>
      </c>
      <c r="E102" s="295">
        <f t="shared" ref="E102:N102" si="30">SUM(E86:E101)</f>
        <v>0</v>
      </c>
      <c r="F102" s="295">
        <f t="shared" si="30"/>
        <v>0</v>
      </c>
      <c r="G102" s="295">
        <f t="shared" si="30"/>
        <v>0</v>
      </c>
      <c r="H102" s="295">
        <f t="shared" si="30"/>
        <v>0</v>
      </c>
      <c r="I102" s="295">
        <f t="shared" si="30"/>
        <v>0</v>
      </c>
      <c r="J102" s="293">
        <f t="shared" si="30"/>
        <v>0</v>
      </c>
      <c r="K102" s="293">
        <f t="shared" si="30"/>
        <v>0</v>
      </c>
      <c r="L102" s="295">
        <f t="shared" si="30"/>
        <v>0</v>
      </c>
      <c r="M102" s="295">
        <f t="shared" si="30"/>
        <v>0</v>
      </c>
      <c r="N102" s="79">
        <f t="shared" si="30"/>
        <v>0</v>
      </c>
      <c r="O102" s="237"/>
      <c r="P102" s="237"/>
    </row>
    <row r="103" spans="1:18" ht="12.95" customHeight="1">
      <c r="A103" s="156" t="str">
        <f>IF(UMYr1!A103&lt;&gt;"",UMYr1!A103,"")</f>
        <v/>
      </c>
      <c r="B103" s="74" t="str">
        <f>IF(UMYr1!B103="","",UMYr1!B103)</f>
        <v>ADDITIONAL CAPITAL EQUIPMENT OR CONSTRUCTION - descriptions and account codes must be entered in Sponsor tab</v>
      </c>
      <c r="C103" s="230"/>
      <c r="D103" s="230"/>
      <c r="E103" s="230"/>
      <c r="F103" s="230"/>
      <c r="G103" s="230"/>
      <c r="H103" s="230"/>
      <c r="I103" s="230"/>
      <c r="J103" s="230"/>
      <c r="K103" s="230"/>
      <c r="L103" s="230"/>
      <c r="M103" s="230"/>
      <c r="N103" s="231"/>
      <c r="O103" s="237"/>
      <c r="P103" s="237"/>
    </row>
    <row r="104" spans="1:18" ht="12.95" customHeight="1">
      <c r="A104" s="679" t="str">
        <f>IF(UMYr1!A104&lt;&gt;"",UMYr1!A104,"")</f>
        <v/>
      </c>
      <c r="B104" s="85" t="str">
        <f>UMYr1!B104</f>
        <v/>
      </c>
      <c r="C104" s="680" t="str">
        <f>IF(UMYr1!C104="","",UMYr1!C104)</f>
        <v/>
      </c>
      <c r="D104" s="108">
        <f>Sponsor!E107</f>
        <v>0</v>
      </c>
      <c r="E104" s="64"/>
      <c r="F104" s="7"/>
      <c r="G104" s="7"/>
      <c r="H104" s="7"/>
      <c r="I104" s="7"/>
      <c r="J104" s="312">
        <f t="shared" ref="J104:J109" si="31">SUM(E104:I104)</f>
        <v>0</v>
      </c>
      <c r="K104" s="32">
        <f t="shared" ref="K104:K109" si="32">D104+J104</f>
        <v>0</v>
      </c>
      <c r="L104" s="12"/>
      <c r="M104" s="13"/>
      <c r="N104" s="175">
        <f t="shared" si="24"/>
        <v>0</v>
      </c>
      <c r="O104" s="722" t="s">
        <v>507</v>
      </c>
      <c r="P104" s="723"/>
      <c r="Q104" s="723"/>
      <c r="R104" s="723"/>
    </row>
    <row r="105" spans="1:18" ht="12.95" customHeight="1">
      <c r="A105" s="679" t="str">
        <f>IF(UMYr1!A105&lt;&gt;"",UMYr1!A105,"")</f>
        <v/>
      </c>
      <c r="B105" s="85" t="str">
        <f>UMYr1!B105</f>
        <v/>
      </c>
      <c r="C105" s="680" t="str">
        <f>IF(UMYr1!C105="","",UMYr1!C105)</f>
        <v/>
      </c>
      <c r="D105" s="108">
        <f>Sponsor!E108</f>
        <v>0</v>
      </c>
      <c r="E105" s="65"/>
      <c r="F105" s="8"/>
      <c r="G105" s="8"/>
      <c r="H105" s="8"/>
      <c r="I105" s="8"/>
      <c r="J105" s="297">
        <f t="shared" si="31"/>
        <v>0</v>
      </c>
      <c r="K105" s="32">
        <f t="shared" si="32"/>
        <v>0</v>
      </c>
      <c r="L105" s="10"/>
      <c r="M105" s="9"/>
      <c r="N105" s="173">
        <f t="shared" si="24"/>
        <v>0</v>
      </c>
      <c r="O105" s="211" t="s">
        <v>508</v>
      </c>
      <c r="P105" s="721" t="s">
        <v>509</v>
      </c>
      <c r="Q105" s="721"/>
      <c r="R105" s="721"/>
    </row>
    <row r="106" spans="1:18" ht="12.95" customHeight="1">
      <c r="A106" s="679" t="str">
        <f>IF(UMYr1!A106&lt;&gt;"",UMYr1!A106,"")</f>
        <v/>
      </c>
      <c r="B106" s="85" t="str">
        <f>UMYr1!B106</f>
        <v/>
      </c>
      <c r="C106" s="680" t="str">
        <f>IF(UMYr1!C106="","",UMYr1!C106)</f>
        <v/>
      </c>
      <c r="D106" s="108">
        <f>Sponsor!E109</f>
        <v>0</v>
      </c>
      <c r="E106" s="65"/>
      <c r="F106" s="8"/>
      <c r="G106" s="8"/>
      <c r="H106" s="8"/>
      <c r="I106" s="8"/>
      <c r="J106" s="297">
        <f t="shared" si="31"/>
        <v>0</v>
      </c>
      <c r="K106" s="32">
        <f t="shared" si="32"/>
        <v>0</v>
      </c>
      <c r="L106" s="10"/>
      <c r="M106" s="9"/>
      <c r="N106" s="173">
        <f t="shared" si="24"/>
        <v>0</v>
      </c>
      <c r="O106" s="212">
        <v>62300</v>
      </c>
      <c r="P106" s="721" t="s">
        <v>510</v>
      </c>
      <c r="Q106" s="721"/>
      <c r="R106" s="721"/>
    </row>
    <row r="107" spans="1:18" ht="12.95" customHeight="1">
      <c r="A107" s="679" t="str">
        <f>IF(UMYr1!A107&lt;&gt;"",UMYr1!A107,"")</f>
        <v/>
      </c>
      <c r="B107" s="85" t="str">
        <f>UMYr1!B107</f>
        <v/>
      </c>
      <c r="C107" s="680" t="str">
        <f>IF(UMYr1!C107="","",UMYr1!C107)</f>
        <v/>
      </c>
      <c r="D107" s="108">
        <f>Sponsor!E110</f>
        <v>0</v>
      </c>
      <c r="E107" s="65"/>
      <c r="F107" s="8"/>
      <c r="G107" s="8"/>
      <c r="H107" s="8"/>
      <c r="I107" s="8"/>
      <c r="J107" s="297">
        <f t="shared" si="31"/>
        <v>0</v>
      </c>
      <c r="K107" s="32">
        <f t="shared" si="32"/>
        <v>0</v>
      </c>
      <c r="L107" s="10"/>
      <c r="M107" s="9"/>
      <c r="N107" s="173">
        <f t="shared" si="24"/>
        <v>0</v>
      </c>
      <c r="O107" s="211" t="s">
        <v>512</v>
      </c>
      <c r="P107" s="736" t="s">
        <v>513</v>
      </c>
      <c r="Q107" s="737"/>
      <c r="R107" s="737"/>
    </row>
    <row r="108" spans="1:18" ht="12.95" customHeight="1">
      <c r="A108" s="679" t="str">
        <f>IF(UMYr1!A108&lt;&gt;"",UMYr1!A108,"")</f>
        <v/>
      </c>
      <c r="B108" s="85" t="str">
        <f>UMYr1!B108</f>
        <v/>
      </c>
      <c r="C108" s="680" t="str">
        <f>IF(UMYr1!C108="","",UMYr1!C108)</f>
        <v/>
      </c>
      <c r="D108" s="108">
        <f>Sponsor!E111</f>
        <v>0</v>
      </c>
      <c r="E108" s="95"/>
      <c r="F108" s="157"/>
      <c r="G108" s="157"/>
      <c r="H108" s="157"/>
      <c r="I108" s="157"/>
      <c r="J108" s="297">
        <f t="shared" si="31"/>
        <v>0</v>
      </c>
      <c r="K108" s="32">
        <f t="shared" si="32"/>
        <v>0</v>
      </c>
      <c r="L108" s="10"/>
      <c r="M108" s="9"/>
      <c r="N108" s="173">
        <f t="shared" si="24"/>
        <v>0</v>
      </c>
      <c r="O108" s="211" t="s">
        <v>515</v>
      </c>
      <c r="P108" s="736" t="s">
        <v>516</v>
      </c>
      <c r="Q108" s="737"/>
      <c r="R108" s="737"/>
    </row>
    <row r="109" spans="1:18" ht="12.95" customHeight="1" thickBot="1">
      <c r="A109" s="5" t="str">
        <f>IF(UMYr1!A109&lt;&gt;"",UMYr1!A109,"")</f>
        <v/>
      </c>
      <c r="B109" s="954" t="s">
        <v>580</v>
      </c>
      <c r="C109" s="768"/>
      <c r="D109" s="71">
        <f>Sponsor!E112</f>
        <v>0</v>
      </c>
      <c r="E109" s="295">
        <f>SUM(E104:E108)</f>
        <v>0</v>
      </c>
      <c r="F109" s="295">
        <f>SUM(F104:F108)</f>
        <v>0</v>
      </c>
      <c r="G109" s="295">
        <f>SUM(G104:G108)</f>
        <v>0</v>
      </c>
      <c r="H109" s="295">
        <f>SUM(H104:H108)</f>
        <v>0</v>
      </c>
      <c r="I109" s="295">
        <f>SUM(I104:I108)</f>
        <v>0</v>
      </c>
      <c r="J109" s="295">
        <f t="shared" si="31"/>
        <v>0</v>
      </c>
      <c r="K109" s="71">
        <f t="shared" si="32"/>
        <v>0</v>
      </c>
      <c r="L109" s="295">
        <f>SUM(L104:L108)</f>
        <v>0</v>
      </c>
      <c r="M109" s="295">
        <f>SUM(M104:M108)</f>
        <v>0</v>
      </c>
      <c r="N109" s="79">
        <f t="shared" si="24"/>
        <v>0</v>
      </c>
      <c r="O109" s="237"/>
      <c r="P109" s="237"/>
    </row>
    <row r="110" spans="1:18" ht="12.95" customHeight="1">
      <c r="A110" s="5" t="str">
        <f>IF(UMYr1!A110&lt;&gt;"",UMYr1!A110,"")</f>
        <v/>
      </c>
      <c r="B110" s="947" t="str">
        <f>IF(UMYr1!B110="","",UMYr1!B110)</f>
        <v>OTHER DIRECT COSTS - descriptions and account codes must be entered in Sponsor tab</v>
      </c>
      <c r="C110" s="948" t="str">
        <f>IF(UMYr1!C110="","",UMYr1!C110)</f>
        <v/>
      </c>
      <c r="D110" s="948" t="str">
        <f>IF(UMYr1!D110="","",UMYr1!D110)</f>
        <v/>
      </c>
      <c r="E110" s="948" t="str">
        <f>IF(UMYr1!E110="","",UMYr1!E110)</f>
        <v/>
      </c>
      <c r="F110" s="948" t="str">
        <f>IF(UMYr1!F110="","",UMYr1!F110)</f>
        <v/>
      </c>
      <c r="G110" s="948" t="str">
        <f>IF(UMYr1!G110="","",UMYr1!G110)</f>
        <v/>
      </c>
      <c r="H110" s="948" t="str">
        <f>IF(UMYr1!H110="","",UMYr1!H110)</f>
        <v/>
      </c>
      <c r="I110" s="948" t="str">
        <f>IF(UMYr1!I110="","",UMYr1!I110)</f>
        <v/>
      </c>
      <c r="J110" s="1064" t="str">
        <f>IF(UMYr1!J110="","",UMYr1!J110)</f>
        <v/>
      </c>
      <c r="K110" s="1064" t="str">
        <f>IF(UMYr1!K110="","",UMYr1!K110)</f>
        <v/>
      </c>
      <c r="L110" s="1064" t="str">
        <f>IF(UMYr1!L110="","",UMYr1!L110)</f>
        <v/>
      </c>
      <c r="M110" s="1064" t="str">
        <f>IF(UMYr1!M110="","",UMYr1!M110)</f>
        <v/>
      </c>
      <c r="N110" s="1065" t="str">
        <f>IF(UMYr1!N110="","",UMYr1!N110)</f>
        <v/>
      </c>
      <c r="O110" s="237"/>
      <c r="P110" s="237"/>
    </row>
    <row r="111" spans="1:18" ht="12.95" customHeight="1">
      <c r="A111" s="679">
        <f>IF(UMYr1!A111 = "","",UMYr1!A111)</f>
        <v>60900</v>
      </c>
      <c r="B111" s="147" t="str">
        <f>IF(UMYr1!B111 = "","",UMYr1!B111)</f>
        <v/>
      </c>
      <c r="C111" s="139" t="str">
        <f>IF(UMYr1!C111 = "","",UMYr1!C111)</f>
        <v>Publications</v>
      </c>
      <c r="D111" s="108">
        <f>Sponsor!E115</f>
        <v>0</v>
      </c>
      <c r="E111" s="64"/>
      <c r="F111" s="7"/>
      <c r="G111" s="7"/>
      <c r="H111" s="7"/>
      <c r="I111" s="7"/>
      <c r="J111" s="297">
        <f>SUM(E111:I111)</f>
        <v>0</v>
      </c>
      <c r="K111" s="32">
        <f>D111+J111</f>
        <v>0</v>
      </c>
      <c r="L111" s="9"/>
      <c r="M111" s="9"/>
      <c r="N111" s="173">
        <f>SUM(K111:M111)</f>
        <v>0</v>
      </c>
      <c r="O111" s="237"/>
      <c r="P111" s="237"/>
    </row>
    <row r="112" spans="1:18" ht="12.95" customHeight="1">
      <c r="A112" s="679" t="str">
        <f>IF(UMYr1!A112 = "","",UMYr1!A112)</f>
        <v/>
      </c>
      <c r="B112" s="85" t="str">
        <f>IF(UMYr1!B112 = "","",UMYr1!B112)</f>
        <v/>
      </c>
      <c r="C112" s="680" t="str">
        <f>IF(UMYr1!C112 = "","",UMYr1!C112)</f>
        <v/>
      </c>
      <c r="D112" s="108">
        <f>Sponsor!E116</f>
        <v>0</v>
      </c>
      <c r="E112" s="65"/>
      <c r="F112" s="8"/>
      <c r="G112" s="8"/>
      <c r="H112" s="8"/>
      <c r="I112" s="8"/>
      <c r="J112" s="297">
        <f>SUM(E112:I112)</f>
        <v>0</v>
      </c>
      <c r="K112" s="32">
        <f>D112+J112</f>
        <v>0</v>
      </c>
      <c r="L112" s="9"/>
      <c r="M112" s="9"/>
      <c r="N112" s="173">
        <f>SUM(K112:M112)</f>
        <v>0</v>
      </c>
      <c r="O112" s="237"/>
      <c r="P112" s="237"/>
    </row>
    <row r="113" spans="1:18" ht="12.95" customHeight="1">
      <c r="A113" s="679" t="str">
        <f>IF(UMYr1!A113&lt;&gt;"",UMYr1!A113,"")</f>
        <v/>
      </c>
      <c r="B113" s="85" t="str">
        <f>IF(UMYr1!B113 = "","",UMYr1!B113)</f>
        <v/>
      </c>
      <c r="C113" s="680" t="str">
        <f>IF(UMYr1!C113 = "","",UMYr1!C113)</f>
        <v/>
      </c>
      <c r="D113" s="108">
        <f>Sponsor!E117</f>
        <v>0</v>
      </c>
      <c r="E113" s="65"/>
      <c r="F113" s="8"/>
      <c r="G113" s="8"/>
      <c r="H113" s="8"/>
      <c r="I113" s="8"/>
      <c r="J113" s="297">
        <f>SUM(E113:I113)</f>
        <v>0</v>
      </c>
      <c r="K113" s="32">
        <f>D113+J113</f>
        <v>0</v>
      </c>
      <c r="L113" s="9"/>
      <c r="M113" s="9"/>
      <c r="N113" s="173">
        <f>SUM(K113:M113)</f>
        <v>0</v>
      </c>
      <c r="O113" s="238"/>
      <c r="P113" s="238"/>
    </row>
    <row r="114" spans="1:18" ht="12.95" customHeight="1">
      <c r="A114" s="679" t="str">
        <f>IF(UMYr1!A114&lt;&gt;"",UMYr1!A114,"")</f>
        <v/>
      </c>
      <c r="B114" s="147" t="str">
        <f>IF(UMYr1!B114 = "","",UMYr1!B114)</f>
        <v/>
      </c>
      <c r="C114" s="139" t="str">
        <f>IF(UMYr1!C114 = "","",UMYr1!C114)</f>
        <v/>
      </c>
      <c r="D114" s="106">
        <f>Sponsor!E118</f>
        <v>0</v>
      </c>
      <c r="E114" s="65"/>
      <c r="F114" s="8"/>
      <c r="G114" s="8"/>
      <c r="H114" s="8"/>
      <c r="I114" s="8"/>
      <c r="J114" s="11">
        <f t="shared" ref="J114:J119" si="33">SUM(E114:I114)</f>
        <v>0</v>
      </c>
      <c r="K114" s="32">
        <f t="shared" ref="K114:K119" si="34">D114+J114</f>
        <v>0</v>
      </c>
      <c r="L114" s="88"/>
      <c r="M114" s="88"/>
      <c r="N114" s="78">
        <f t="shared" ref="N114:N119" si="35">K114+SUM(L114:M114)</f>
        <v>0</v>
      </c>
      <c r="O114" s="320"/>
      <c r="P114" s="321"/>
      <c r="Q114" s="321"/>
      <c r="R114" s="321"/>
    </row>
    <row r="115" spans="1:18" ht="12.95" customHeight="1">
      <c r="A115" s="679" t="str">
        <f>IF(UMYr1!A115&lt;&gt;"",UMYr1!A115,"")</f>
        <v/>
      </c>
      <c r="B115" s="85" t="str">
        <f>IF(UMYr1!B115 = "","",UMYr1!B115)</f>
        <v/>
      </c>
      <c r="C115" s="680" t="str">
        <f>IF(UMYr1!C115 = "","",UMYr1!C115)</f>
        <v/>
      </c>
      <c r="D115" s="106">
        <f>Sponsor!E119</f>
        <v>0</v>
      </c>
      <c r="E115" s="65"/>
      <c r="F115" s="8"/>
      <c r="G115" s="8"/>
      <c r="H115" s="8"/>
      <c r="I115" s="8"/>
      <c r="J115" s="11">
        <f t="shared" si="33"/>
        <v>0</v>
      </c>
      <c r="K115" s="32">
        <f t="shared" si="34"/>
        <v>0</v>
      </c>
      <c r="L115" s="88"/>
      <c r="M115" s="88"/>
      <c r="N115" s="78">
        <f t="shared" si="35"/>
        <v>0</v>
      </c>
      <c r="O115" s="322"/>
      <c r="P115" s="321"/>
      <c r="Q115" s="321"/>
      <c r="R115" s="321"/>
    </row>
    <row r="116" spans="1:18" ht="12.95" customHeight="1">
      <c r="A116" s="679" t="str">
        <f>IF(UMYr1!A116&lt;&gt;"",UMYr1!A116,"")</f>
        <v/>
      </c>
      <c r="B116" s="85" t="str">
        <f>IF(UMYr1!B116 = "","",UMYr1!B116)</f>
        <v/>
      </c>
      <c r="C116" s="680" t="str">
        <f>IF(UMYr1!C116 = "","",UMYr1!C116)</f>
        <v/>
      </c>
      <c r="D116" s="106">
        <f>Sponsor!E120</f>
        <v>0</v>
      </c>
      <c r="E116" s="65"/>
      <c r="F116" s="8"/>
      <c r="G116" s="8"/>
      <c r="H116" s="8"/>
      <c r="I116" s="8"/>
      <c r="J116" s="11">
        <f t="shared" si="33"/>
        <v>0</v>
      </c>
      <c r="K116" s="32">
        <f t="shared" si="34"/>
        <v>0</v>
      </c>
      <c r="L116" s="88"/>
      <c r="M116" s="88"/>
      <c r="N116" s="78">
        <f t="shared" si="35"/>
        <v>0</v>
      </c>
      <c r="O116" s="237"/>
      <c r="P116" s="237"/>
    </row>
    <row r="117" spans="1:18" ht="12.95" customHeight="1">
      <c r="A117" s="679" t="str">
        <f>IF(UMYr1!A117&lt;&gt;"",UMYr1!A117,"")</f>
        <v/>
      </c>
      <c r="B117" s="85" t="str">
        <f>IF(UMYr1!B117 = "","",UMYr1!B117)</f>
        <v/>
      </c>
      <c r="C117" s="680" t="str">
        <f>IF(UMYr1!C117 = "","",UMYr1!C117)</f>
        <v/>
      </c>
      <c r="D117" s="106">
        <f>Sponsor!E121</f>
        <v>0</v>
      </c>
      <c r="E117" s="65"/>
      <c r="F117" s="8"/>
      <c r="G117" s="8"/>
      <c r="H117" s="8"/>
      <c r="I117" s="8"/>
      <c r="J117" s="11">
        <f t="shared" si="33"/>
        <v>0</v>
      </c>
      <c r="K117" s="32">
        <f t="shared" si="34"/>
        <v>0</v>
      </c>
      <c r="L117" s="88"/>
      <c r="M117" s="88"/>
      <c r="N117" s="78">
        <f t="shared" si="35"/>
        <v>0</v>
      </c>
      <c r="O117" s="237"/>
      <c r="P117" s="237"/>
    </row>
    <row r="118" spans="1:18" ht="12.95" customHeight="1">
      <c r="A118" s="679" t="str">
        <f>IF(UMYr1!A118&lt;&gt;"",UMYr1!A118,"")</f>
        <v/>
      </c>
      <c r="B118" s="85" t="str">
        <f>IF(UMYr1!B118 = "","",UMYr1!B118)</f>
        <v/>
      </c>
      <c r="C118" s="680" t="str">
        <f>IF(UMYr1!C118 = "","",UMYr1!C118)</f>
        <v/>
      </c>
      <c r="D118" s="106">
        <f>Sponsor!E122</f>
        <v>0</v>
      </c>
      <c r="E118" s="65"/>
      <c r="F118" s="8"/>
      <c r="G118" s="8"/>
      <c r="H118" s="8"/>
      <c r="I118" s="8"/>
      <c r="J118" s="11">
        <f t="shared" si="33"/>
        <v>0</v>
      </c>
      <c r="K118" s="32">
        <f t="shared" si="34"/>
        <v>0</v>
      </c>
      <c r="L118" s="88"/>
      <c r="M118" s="88"/>
      <c r="N118" s="78">
        <f t="shared" si="35"/>
        <v>0</v>
      </c>
      <c r="O118" s="237"/>
      <c r="P118" s="237"/>
    </row>
    <row r="119" spans="1:18" ht="12.95" customHeight="1">
      <c r="A119" s="679" t="str">
        <f>IF(UMYr1!A119&lt;&gt;"",UMYr1!A119,"")</f>
        <v/>
      </c>
      <c r="B119" s="85" t="str">
        <f>IF(UMYr1!B119 = "","",UMYr1!B119)</f>
        <v/>
      </c>
      <c r="C119" s="680" t="str">
        <f>IF(UMYr1!C119 = "","",UMYr1!C119)</f>
        <v/>
      </c>
      <c r="D119" s="298">
        <f>Sponsor!E123</f>
        <v>0</v>
      </c>
      <c r="E119" s="95"/>
      <c r="F119" s="157"/>
      <c r="G119" s="157"/>
      <c r="H119" s="157"/>
      <c r="I119" s="157"/>
      <c r="J119" s="299">
        <f t="shared" si="33"/>
        <v>0</v>
      </c>
      <c r="K119" s="298">
        <f t="shared" si="34"/>
        <v>0</v>
      </c>
      <c r="L119" s="88"/>
      <c r="M119" s="88"/>
      <c r="N119" s="94">
        <f t="shared" si="35"/>
        <v>0</v>
      </c>
      <c r="O119" s="237"/>
      <c r="P119" s="237"/>
    </row>
    <row r="120" spans="1:18" ht="12.95" customHeight="1" thickBot="1">
      <c r="A120" s="156" t="str">
        <f>IF(UMYr1!A120&lt;&gt;"",UMYr1!A120,"")</f>
        <v/>
      </c>
      <c r="B120" s="949" t="s">
        <v>584</v>
      </c>
      <c r="C120" s="1066"/>
      <c r="D120" s="30">
        <f>Sponsor!E124</f>
        <v>0</v>
      </c>
      <c r="E120" s="118">
        <f>SUM(E111:E119)</f>
        <v>0</v>
      </c>
      <c r="F120" s="119">
        <f t="shared" ref="F120:K120" si="36">SUM(F111:F119)</f>
        <v>0</v>
      </c>
      <c r="G120" s="119">
        <f t="shared" si="36"/>
        <v>0</v>
      </c>
      <c r="H120" s="119">
        <f t="shared" si="36"/>
        <v>0</v>
      </c>
      <c r="I120" s="119">
        <f t="shared" si="36"/>
        <v>0</v>
      </c>
      <c r="J120" s="166">
        <f t="shared" si="36"/>
        <v>0</v>
      </c>
      <c r="K120" s="30">
        <f t="shared" si="36"/>
        <v>0</v>
      </c>
      <c r="L120" s="30">
        <f>SUM(L111:L119)</f>
        <v>0</v>
      </c>
      <c r="M120" s="30">
        <f>SUM(M111:M119)</f>
        <v>0</v>
      </c>
      <c r="N120" s="77">
        <f>SUM(N111:N119)</f>
        <v>0</v>
      </c>
      <c r="O120" s="237"/>
      <c r="P120" s="237"/>
    </row>
    <row r="121" spans="1:18" ht="12.95" customHeight="1">
      <c r="A121" s="323"/>
      <c r="B121" s="84" t="str">
        <f>IF(UMYr1!B121="","",UMYr1!B121)</f>
        <v>SUBRECIPIENT DETAIL - Subrecipient organizations and account codes must be entered in Sponsor tab</v>
      </c>
      <c r="C121" s="227"/>
      <c r="D121" s="227"/>
      <c r="E121" s="227"/>
      <c r="F121" s="227"/>
      <c r="G121" s="227"/>
      <c r="H121" s="227"/>
      <c r="I121" s="227"/>
      <c r="J121" s="227"/>
      <c r="K121" s="227"/>
      <c r="L121" s="227"/>
      <c r="M121" s="227"/>
      <c r="N121" s="228"/>
      <c r="O121" s="237"/>
      <c r="P121" s="237"/>
    </row>
    <row r="122" spans="1:18" ht="12.95" customHeight="1">
      <c r="A122" s="324"/>
      <c r="B122" s="301"/>
      <c r="C122" s="302" t="s">
        <v>589</v>
      </c>
      <c r="D122" s="240"/>
      <c r="E122" s="28"/>
      <c r="F122" s="28"/>
      <c r="G122" s="28"/>
      <c r="H122" s="28"/>
      <c r="I122" s="28"/>
      <c r="J122" s="28"/>
      <c r="K122" s="28"/>
      <c r="L122" s="28"/>
      <c r="M122" s="28"/>
      <c r="N122" s="172"/>
      <c r="O122" s="237"/>
      <c r="P122" s="237"/>
    </row>
    <row r="123" spans="1:18" ht="12.95" customHeight="1">
      <c r="A123" s="324"/>
      <c r="B123" s="115" t="str">
        <f>Sponsor!B127</f>
        <v>01</v>
      </c>
      <c r="C123" s="677" t="str">
        <f>IF(Sponsor!C127="","",Sponsor!C127)</f>
        <v/>
      </c>
      <c r="D123" s="638">
        <f>Sponsor!E127</f>
        <v>0</v>
      </c>
      <c r="E123" s="686"/>
      <c r="F123" s="686"/>
      <c r="G123" s="686"/>
      <c r="H123" s="686"/>
      <c r="I123" s="686"/>
      <c r="J123" s="638">
        <f>SUM(E123:I123)</f>
        <v>0</v>
      </c>
      <c r="K123" s="638">
        <f>D123+J123</f>
        <v>0</v>
      </c>
      <c r="L123" s="143"/>
      <c r="M123" s="143"/>
      <c r="N123" s="167">
        <f>D123+J123+L123+M123</f>
        <v>0</v>
      </c>
    </row>
    <row r="124" spans="1:18">
      <c r="A124" s="325">
        <f>Sponsor!A128</f>
        <v>60250</v>
      </c>
      <c r="B124" s="148"/>
      <c r="C124" s="102" t="str">
        <f>Sponsor!C128</f>
        <v>Less than $25K</v>
      </c>
      <c r="D124" s="124">
        <f>Sponsor!E128</f>
        <v>0</v>
      </c>
      <c r="E124" s="892" t="s">
        <v>679</v>
      </c>
      <c r="F124" s="920"/>
      <c r="G124" s="920"/>
      <c r="H124" s="920"/>
      <c r="I124" s="921"/>
      <c r="J124" s="673">
        <f>UMYr1!AA122</f>
        <v>0</v>
      </c>
      <c r="K124" s="673">
        <f t="shared" ref="K124:K182" si="37">D124+J124</f>
        <v>0</v>
      </c>
      <c r="L124" s="888" t="s">
        <v>679</v>
      </c>
      <c r="M124" s="889"/>
      <c r="N124" s="168">
        <f>K124</f>
        <v>0</v>
      </c>
      <c r="O124" s="303">
        <v>60250</v>
      </c>
    </row>
    <row r="125" spans="1:18">
      <c r="A125" s="325">
        <f>Sponsor!A129</f>
        <v>60270</v>
      </c>
      <c r="B125" s="149"/>
      <c r="C125" s="102" t="str">
        <f>Sponsor!C129</f>
        <v>Greater than $25K</v>
      </c>
      <c r="D125" s="125">
        <f>Sponsor!E129</f>
        <v>0</v>
      </c>
      <c r="E125" s="922"/>
      <c r="F125" s="923"/>
      <c r="G125" s="923"/>
      <c r="H125" s="923"/>
      <c r="I125" s="924"/>
      <c r="J125" s="673">
        <f>J123-J124</f>
        <v>0</v>
      </c>
      <c r="K125" s="673">
        <f t="shared" si="37"/>
        <v>0</v>
      </c>
      <c r="L125" s="890"/>
      <c r="M125" s="891"/>
      <c r="N125" s="169">
        <f>K125</f>
        <v>0</v>
      </c>
      <c r="O125" s="303">
        <v>60270</v>
      </c>
    </row>
    <row r="126" spans="1:18">
      <c r="A126" s="324"/>
      <c r="B126" s="115" t="str">
        <f>Sponsor!B130</f>
        <v>02</v>
      </c>
      <c r="C126" s="677" t="str">
        <f>IF(Sponsor!C130="","",Sponsor!C130)</f>
        <v/>
      </c>
      <c r="D126" s="638">
        <f>Sponsor!E130</f>
        <v>0</v>
      </c>
      <c r="E126" s="686"/>
      <c r="F126" s="686"/>
      <c r="G126" s="686"/>
      <c r="H126" s="686"/>
      <c r="I126" s="686"/>
      <c r="J126" s="638">
        <f>SUM(E126:I126)</f>
        <v>0</v>
      </c>
      <c r="K126" s="638">
        <f t="shared" si="37"/>
        <v>0</v>
      </c>
      <c r="L126" s="143"/>
      <c r="M126" s="143"/>
      <c r="N126" s="167">
        <f>D126+J126+L126+M126</f>
        <v>0</v>
      </c>
      <c r="O126" s="304"/>
    </row>
    <row r="127" spans="1:18">
      <c r="A127" s="325">
        <f>Sponsor!A131</f>
        <v>60250</v>
      </c>
      <c r="B127" s="148"/>
      <c r="C127" s="102" t="str">
        <f>Sponsor!C131</f>
        <v>Less than $25K</v>
      </c>
      <c r="D127" s="124">
        <f>Sponsor!E131</f>
        <v>0</v>
      </c>
      <c r="E127" s="892" t="s">
        <v>679</v>
      </c>
      <c r="F127" s="920"/>
      <c r="G127" s="920"/>
      <c r="H127" s="920"/>
      <c r="I127" s="921"/>
      <c r="J127" s="673">
        <f>UMYr1!AA123</f>
        <v>0</v>
      </c>
      <c r="K127" s="673">
        <f t="shared" si="37"/>
        <v>0</v>
      </c>
      <c r="L127" s="888" t="s">
        <v>679</v>
      </c>
      <c r="M127" s="889"/>
      <c r="N127" s="168">
        <f>K127</f>
        <v>0</v>
      </c>
      <c r="O127" s="303">
        <v>60250</v>
      </c>
    </row>
    <row r="128" spans="1:18">
      <c r="A128" s="325">
        <f>Sponsor!A132</f>
        <v>60270</v>
      </c>
      <c r="B128" s="149"/>
      <c r="C128" s="102" t="str">
        <f>Sponsor!C132</f>
        <v>Greater than $25K</v>
      </c>
      <c r="D128" s="125">
        <f>Sponsor!E132</f>
        <v>0</v>
      </c>
      <c r="E128" s="922"/>
      <c r="F128" s="923"/>
      <c r="G128" s="923"/>
      <c r="H128" s="923"/>
      <c r="I128" s="924"/>
      <c r="J128" s="673">
        <f>J126-J127</f>
        <v>0</v>
      </c>
      <c r="K128" s="673">
        <f t="shared" si="37"/>
        <v>0</v>
      </c>
      <c r="L128" s="890"/>
      <c r="M128" s="891"/>
      <c r="N128" s="169">
        <f>K128</f>
        <v>0</v>
      </c>
      <c r="O128" s="303">
        <v>60270</v>
      </c>
    </row>
    <row r="129" spans="1:15">
      <c r="A129" s="324"/>
      <c r="B129" s="115" t="str">
        <f>Sponsor!B133</f>
        <v>03</v>
      </c>
      <c r="C129" s="677" t="str">
        <f>IF(Sponsor!C133="","",Sponsor!C133)</f>
        <v/>
      </c>
      <c r="D129" s="638">
        <f>Sponsor!E133</f>
        <v>0</v>
      </c>
      <c r="E129" s="686"/>
      <c r="F129" s="686"/>
      <c r="G129" s="686"/>
      <c r="H129" s="686"/>
      <c r="I129" s="686"/>
      <c r="J129" s="638">
        <f>SUM(E129:I129)</f>
        <v>0</v>
      </c>
      <c r="K129" s="638">
        <f t="shared" si="37"/>
        <v>0</v>
      </c>
      <c r="L129" s="143"/>
      <c r="M129" s="143"/>
      <c r="N129" s="167">
        <f>D129+J129+L129+M129</f>
        <v>0</v>
      </c>
      <c r="O129" s="304"/>
    </row>
    <row r="130" spans="1:15">
      <c r="A130" s="325">
        <f>Sponsor!A134</f>
        <v>60250</v>
      </c>
      <c r="B130" s="148"/>
      <c r="C130" s="102" t="str">
        <f>Sponsor!C134</f>
        <v>Less than $25K</v>
      </c>
      <c r="D130" s="124">
        <f>Sponsor!E134</f>
        <v>0</v>
      </c>
      <c r="E130" s="892" t="s">
        <v>679</v>
      </c>
      <c r="F130" s="920"/>
      <c r="G130" s="920"/>
      <c r="H130" s="920"/>
      <c r="I130" s="921"/>
      <c r="J130" s="673">
        <f>UMYr1!AA124</f>
        <v>0</v>
      </c>
      <c r="K130" s="673">
        <f t="shared" si="37"/>
        <v>0</v>
      </c>
      <c r="L130" s="888" t="s">
        <v>679</v>
      </c>
      <c r="M130" s="889"/>
      <c r="N130" s="168">
        <f>K130</f>
        <v>0</v>
      </c>
      <c r="O130" s="303">
        <v>60250</v>
      </c>
    </row>
    <row r="131" spans="1:15">
      <c r="A131" s="325">
        <f>Sponsor!A135</f>
        <v>60270</v>
      </c>
      <c r="B131" s="149"/>
      <c r="C131" s="102" t="str">
        <f>Sponsor!C135</f>
        <v>Greater than $25K</v>
      </c>
      <c r="D131" s="125">
        <f>Sponsor!E135</f>
        <v>0</v>
      </c>
      <c r="E131" s="922"/>
      <c r="F131" s="923"/>
      <c r="G131" s="923"/>
      <c r="H131" s="923"/>
      <c r="I131" s="924"/>
      <c r="J131" s="673">
        <f>J129-J130</f>
        <v>0</v>
      </c>
      <c r="K131" s="673">
        <f t="shared" si="37"/>
        <v>0</v>
      </c>
      <c r="L131" s="890"/>
      <c r="M131" s="891"/>
      <c r="N131" s="169">
        <f>K131</f>
        <v>0</v>
      </c>
      <c r="O131" s="303">
        <v>60270</v>
      </c>
    </row>
    <row r="132" spans="1:15">
      <c r="A132" s="324"/>
      <c r="B132" s="115" t="str">
        <f>Sponsor!B136</f>
        <v>04</v>
      </c>
      <c r="C132" s="677" t="str">
        <f>IF(Sponsor!C136="","",Sponsor!C136)</f>
        <v/>
      </c>
      <c r="D132" s="638">
        <f>Sponsor!E136</f>
        <v>0</v>
      </c>
      <c r="E132" s="686"/>
      <c r="F132" s="686"/>
      <c r="G132" s="686"/>
      <c r="H132" s="686"/>
      <c r="I132" s="686"/>
      <c r="J132" s="638">
        <f>SUM(E132:I132)</f>
        <v>0</v>
      </c>
      <c r="K132" s="638">
        <f t="shared" si="37"/>
        <v>0</v>
      </c>
      <c r="L132" s="143"/>
      <c r="M132" s="143"/>
      <c r="N132" s="167">
        <f>D132+J132+L132+M132</f>
        <v>0</v>
      </c>
      <c r="O132" s="304"/>
    </row>
    <row r="133" spans="1:15">
      <c r="A133" s="325">
        <f>Sponsor!A137</f>
        <v>60250</v>
      </c>
      <c r="B133" s="148"/>
      <c r="C133" s="102" t="str">
        <f>Sponsor!C137</f>
        <v>Less than $25K</v>
      </c>
      <c r="D133" s="124">
        <f>Sponsor!E137</f>
        <v>0</v>
      </c>
      <c r="E133" s="892" t="s">
        <v>679</v>
      </c>
      <c r="F133" s="920"/>
      <c r="G133" s="920"/>
      <c r="H133" s="920"/>
      <c r="I133" s="921"/>
      <c r="J133" s="673">
        <f>UMYr1!AA125</f>
        <v>0</v>
      </c>
      <c r="K133" s="673">
        <f t="shared" si="37"/>
        <v>0</v>
      </c>
      <c r="L133" s="888" t="s">
        <v>679</v>
      </c>
      <c r="M133" s="889"/>
      <c r="N133" s="168">
        <f>K133</f>
        <v>0</v>
      </c>
      <c r="O133" s="303">
        <v>60250</v>
      </c>
    </row>
    <row r="134" spans="1:15">
      <c r="A134" s="325">
        <f>Sponsor!A138</f>
        <v>60270</v>
      </c>
      <c r="B134" s="149"/>
      <c r="C134" s="102" t="str">
        <f>Sponsor!C138</f>
        <v>Greater than $25K</v>
      </c>
      <c r="D134" s="125">
        <f>Sponsor!E138</f>
        <v>0</v>
      </c>
      <c r="E134" s="922"/>
      <c r="F134" s="923"/>
      <c r="G134" s="923"/>
      <c r="H134" s="923"/>
      <c r="I134" s="924"/>
      <c r="J134" s="673">
        <f>J132-J133</f>
        <v>0</v>
      </c>
      <c r="K134" s="673">
        <f t="shared" si="37"/>
        <v>0</v>
      </c>
      <c r="L134" s="890"/>
      <c r="M134" s="891"/>
      <c r="N134" s="169">
        <f>K134</f>
        <v>0</v>
      </c>
      <c r="O134" s="303">
        <v>60270</v>
      </c>
    </row>
    <row r="135" spans="1:15">
      <c r="A135" s="324"/>
      <c r="B135" s="115" t="str">
        <f>Sponsor!B139</f>
        <v>05</v>
      </c>
      <c r="C135" s="677" t="str">
        <f>IF(Sponsor!C139="","",Sponsor!C139)</f>
        <v/>
      </c>
      <c r="D135" s="638">
        <f>Sponsor!E139</f>
        <v>0</v>
      </c>
      <c r="E135" s="686"/>
      <c r="F135" s="686"/>
      <c r="G135" s="686"/>
      <c r="H135" s="686"/>
      <c r="I135" s="686"/>
      <c r="J135" s="638">
        <f>SUM(E135:I135)</f>
        <v>0</v>
      </c>
      <c r="K135" s="638">
        <f t="shared" si="37"/>
        <v>0</v>
      </c>
      <c r="L135" s="143"/>
      <c r="M135" s="143"/>
      <c r="N135" s="167">
        <f>D135+J135+L135+M135</f>
        <v>0</v>
      </c>
      <c r="O135" s="304"/>
    </row>
    <row r="136" spans="1:15">
      <c r="A136" s="325">
        <f>Sponsor!A140</f>
        <v>60250</v>
      </c>
      <c r="B136" s="148"/>
      <c r="C136" s="102" t="str">
        <f>Sponsor!C140</f>
        <v>Less than $25K</v>
      </c>
      <c r="D136" s="124">
        <f>Sponsor!E140</f>
        <v>0</v>
      </c>
      <c r="E136" s="892" t="s">
        <v>679</v>
      </c>
      <c r="F136" s="920"/>
      <c r="G136" s="920"/>
      <c r="H136" s="920"/>
      <c r="I136" s="921"/>
      <c r="J136" s="673">
        <f>UMYr1!AA126</f>
        <v>0</v>
      </c>
      <c r="K136" s="673">
        <f t="shared" si="37"/>
        <v>0</v>
      </c>
      <c r="L136" s="888" t="s">
        <v>679</v>
      </c>
      <c r="M136" s="889"/>
      <c r="N136" s="168">
        <f>K136</f>
        <v>0</v>
      </c>
      <c r="O136" s="303">
        <v>60250</v>
      </c>
    </row>
    <row r="137" spans="1:15">
      <c r="A137" s="325">
        <f>Sponsor!A141</f>
        <v>60270</v>
      </c>
      <c r="B137" s="149"/>
      <c r="C137" s="102" t="str">
        <f>Sponsor!C141</f>
        <v>Greater than $25K</v>
      </c>
      <c r="D137" s="125">
        <f>Sponsor!E141</f>
        <v>0</v>
      </c>
      <c r="E137" s="922"/>
      <c r="F137" s="923"/>
      <c r="G137" s="923"/>
      <c r="H137" s="923"/>
      <c r="I137" s="924"/>
      <c r="J137" s="673">
        <f>J135-J136</f>
        <v>0</v>
      </c>
      <c r="K137" s="673">
        <f t="shared" si="37"/>
        <v>0</v>
      </c>
      <c r="L137" s="890"/>
      <c r="M137" s="891"/>
      <c r="N137" s="169">
        <f>K137</f>
        <v>0</v>
      </c>
      <c r="O137" s="303">
        <v>60270</v>
      </c>
    </row>
    <row r="138" spans="1:15">
      <c r="A138" s="324"/>
      <c r="B138" s="115" t="str">
        <f>Sponsor!B142</f>
        <v>06</v>
      </c>
      <c r="C138" s="677" t="str">
        <f>IF(Sponsor!C142="","",Sponsor!C142)</f>
        <v/>
      </c>
      <c r="D138" s="638">
        <f>Sponsor!E142</f>
        <v>0</v>
      </c>
      <c r="E138" s="686"/>
      <c r="F138" s="686"/>
      <c r="G138" s="686"/>
      <c r="H138" s="686"/>
      <c r="I138" s="686"/>
      <c r="J138" s="638">
        <f>SUM(E138:I138)</f>
        <v>0</v>
      </c>
      <c r="K138" s="638">
        <f t="shared" si="37"/>
        <v>0</v>
      </c>
      <c r="L138" s="143"/>
      <c r="M138" s="143"/>
      <c r="N138" s="167">
        <f>D138+J138+L138+M138</f>
        <v>0</v>
      </c>
      <c r="O138" s="304"/>
    </row>
    <row r="139" spans="1:15">
      <c r="A139" s="325">
        <f>Sponsor!A143</f>
        <v>60250</v>
      </c>
      <c r="B139" s="148"/>
      <c r="C139" s="102" t="str">
        <f>Sponsor!C143</f>
        <v>Less than $25K</v>
      </c>
      <c r="D139" s="124">
        <f>Sponsor!E143</f>
        <v>0</v>
      </c>
      <c r="E139" s="892" t="s">
        <v>679</v>
      </c>
      <c r="F139" s="920"/>
      <c r="G139" s="920"/>
      <c r="H139" s="920"/>
      <c r="I139" s="921"/>
      <c r="J139" s="673">
        <f>UMYr1!AA127</f>
        <v>0</v>
      </c>
      <c r="K139" s="673">
        <f t="shared" si="37"/>
        <v>0</v>
      </c>
      <c r="L139" s="888" t="s">
        <v>679</v>
      </c>
      <c r="M139" s="889"/>
      <c r="N139" s="168">
        <f>K139</f>
        <v>0</v>
      </c>
      <c r="O139" s="303">
        <v>60250</v>
      </c>
    </row>
    <row r="140" spans="1:15">
      <c r="A140" s="325">
        <f>Sponsor!A144</f>
        <v>60270</v>
      </c>
      <c r="B140" s="149"/>
      <c r="C140" s="102" t="str">
        <f>Sponsor!C144</f>
        <v>Greater than $25K</v>
      </c>
      <c r="D140" s="125">
        <f>Sponsor!E144</f>
        <v>0</v>
      </c>
      <c r="E140" s="922"/>
      <c r="F140" s="923"/>
      <c r="G140" s="923"/>
      <c r="H140" s="923"/>
      <c r="I140" s="924"/>
      <c r="J140" s="673">
        <f>J138-J139</f>
        <v>0</v>
      </c>
      <c r="K140" s="673">
        <f t="shared" si="37"/>
        <v>0</v>
      </c>
      <c r="L140" s="890"/>
      <c r="M140" s="891"/>
      <c r="N140" s="169">
        <f>K140</f>
        <v>0</v>
      </c>
      <c r="O140" s="303">
        <v>60270</v>
      </c>
    </row>
    <row r="141" spans="1:15">
      <c r="A141" s="324"/>
      <c r="B141" s="115" t="str">
        <f>Sponsor!B145</f>
        <v>07</v>
      </c>
      <c r="C141" s="677" t="str">
        <f>IF(Sponsor!C145="","",Sponsor!C145)</f>
        <v/>
      </c>
      <c r="D141" s="638">
        <f>Sponsor!E145</f>
        <v>0</v>
      </c>
      <c r="E141" s="686"/>
      <c r="F141" s="686"/>
      <c r="G141" s="686"/>
      <c r="H141" s="686"/>
      <c r="I141" s="686"/>
      <c r="J141" s="638">
        <f>SUM(E141:I141)</f>
        <v>0</v>
      </c>
      <c r="K141" s="638">
        <f t="shared" si="37"/>
        <v>0</v>
      </c>
      <c r="L141" s="143"/>
      <c r="M141" s="143"/>
      <c r="N141" s="167">
        <f>D141+J141+L141+M141</f>
        <v>0</v>
      </c>
      <c r="O141" s="304"/>
    </row>
    <row r="142" spans="1:15">
      <c r="A142" s="325">
        <f>Sponsor!A146</f>
        <v>60250</v>
      </c>
      <c r="B142" s="148"/>
      <c r="C142" s="102" t="str">
        <f>Sponsor!C146</f>
        <v>Less than $25K</v>
      </c>
      <c r="D142" s="124">
        <f>Sponsor!E146</f>
        <v>0</v>
      </c>
      <c r="E142" s="892" t="s">
        <v>679</v>
      </c>
      <c r="F142" s="920"/>
      <c r="G142" s="920"/>
      <c r="H142" s="920"/>
      <c r="I142" s="921"/>
      <c r="J142" s="673">
        <f>UMYr1!AA128</f>
        <v>0</v>
      </c>
      <c r="K142" s="673">
        <f t="shared" si="37"/>
        <v>0</v>
      </c>
      <c r="L142" s="888" t="s">
        <v>679</v>
      </c>
      <c r="M142" s="889"/>
      <c r="N142" s="168">
        <f>K142</f>
        <v>0</v>
      </c>
      <c r="O142" s="303">
        <v>60250</v>
      </c>
    </row>
    <row r="143" spans="1:15">
      <c r="A143" s="325">
        <f>Sponsor!A147</f>
        <v>60270</v>
      </c>
      <c r="B143" s="149"/>
      <c r="C143" s="102" t="str">
        <f>Sponsor!C147</f>
        <v>Greater than $25K</v>
      </c>
      <c r="D143" s="125">
        <f>Sponsor!E147</f>
        <v>0</v>
      </c>
      <c r="E143" s="922"/>
      <c r="F143" s="923"/>
      <c r="G143" s="923"/>
      <c r="H143" s="923"/>
      <c r="I143" s="924"/>
      <c r="J143" s="673">
        <f>J141-J142</f>
        <v>0</v>
      </c>
      <c r="K143" s="673">
        <f t="shared" si="37"/>
        <v>0</v>
      </c>
      <c r="L143" s="890"/>
      <c r="M143" s="891"/>
      <c r="N143" s="169">
        <f>K143</f>
        <v>0</v>
      </c>
      <c r="O143" s="303">
        <v>60270</v>
      </c>
    </row>
    <row r="144" spans="1:15">
      <c r="A144" s="324"/>
      <c r="B144" s="115" t="str">
        <f>Sponsor!B148</f>
        <v>08</v>
      </c>
      <c r="C144" s="677" t="str">
        <f>IF(Sponsor!C148="","",Sponsor!C148)</f>
        <v/>
      </c>
      <c r="D144" s="638">
        <f>Sponsor!E148</f>
        <v>0</v>
      </c>
      <c r="E144" s="686"/>
      <c r="F144" s="686"/>
      <c r="G144" s="686"/>
      <c r="H144" s="686"/>
      <c r="I144" s="686"/>
      <c r="J144" s="638">
        <f>SUM(E144:I144)</f>
        <v>0</v>
      </c>
      <c r="K144" s="638">
        <f t="shared" si="37"/>
        <v>0</v>
      </c>
      <c r="L144" s="143"/>
      <c r="M144" s="143"/>
      <c r="N144" s="167">
        <f>D144+J144+L144+M144</f>
        <v>0</v>
      </c>
      <c r="O144" s="304"/>
    </row>
    <row r="145" spans="1:15">
      <c r="A145" s="325">
        <f>Sponsor!A149</f>
        <v>60250</v>
      </c>
      <c r="B145" s="148"/>
      <c r="C145" s="102" t="str">
        <f>Sponsor!C149</f>
        <v>Less than $25K</v>
      </c>
      <c r="D145" s="124">
        <f>Sponsor!E149</f>
        <v>0</v>
      </c>
      <c r="E145" s="892" t="s">
        <v>679</v>
      </c>
      <c r="F145" s="920"/>
      <c r="G145" s="920"/>
      <c r="H145" s="920"/>
      <c r="I145" s="921"/>
      <c r="J145" s="673">
        <f>UMYr1!AA129</f>
        <v>0</v>
      </c>
      <c r="K145" s="673">
        <f t="shared" si="37"/>
        <v>0</v>
      </c>
      <c r="L145" s="888" t="s">
        <v>679</v>
      </c>
      <c r="M145" s="889"/>
      <c r="N145" s="168">
        <f>K145</f>
        <v>0</v>
      </c>
      <c r="O145" s="303">
        <v>60250</v>
      </c>
    </row>
    <row r="146" spans="1:15">
      <c r="A146" s="325">
        <f>Sponsor!A150</f>
        <v>60270</v>
      </c>
      <c r="B146" s="149"/>
      <c r="C146" s="102" t="str">
        <f>Sponsor!C150</f>
        <v>Greater than $25K</v>
      </c>
      <c r="D146" s="125">
        <f>Sponsor!E150</f>
        <v>0</v>
      </c>
      <c r="E146" s="922"/>
      <c r="F146" s="923"/>
      <c r="G146" s="923"/>
      <c r="H146" s="923"/>
      <c r="I146" s="924"/>
      <c r="J146" s="673">
        <f>J144-J145</f>
        <v>0</v>
      </c>
      <c r="K146" s="673">
        <f t="shared" si="37"/>
        <v>0</v>
      </c>
      <c r="L146" s="890"/>
      <c r="M146" s="891"/>
      <c r="N146" s="169">
        <f>K146</f>
        <v>0</v>
      </c>
      <c r="O146" s="303">
        <v>60270</v>
      </c>
    </row>
    <row r="147" spans="1:15">
      <c r="A147" s="324"/>
      <c r="B147" s="115" t="str">
        <f>Sponsor!B151</f>
        <v>09</v>
      </c>
      <c r="C147" s="677" t="str">
        <f>IF(Sponsor!C151="","",Sponsor!C151)</f>
        <v/>
      </c>
      <c r="D147" s="638">
        <f>Sponsor!E151</f>
        <v>0</v>
      </c>
      <c r="E147" s="686"/>
      <c r="F147" s="686"/>
      <c r="G147" s="686"/>
      <c r="H147" s="686"/>
      <c r="I147" s="686"/>
      <c r="J147" s="638">
        <f>SUM(E147:I147)</f>
        <v>0</v>
      </c>
      <c r="K147" s="638">
        <f t="shared" si="37"/>
        <v>0</v>
      </c>
      <c r="L147" s="143"/>
      <c r="M147" s="143"/>
      <c r="N147" s="167">
        <f>D147+J147+L147+M147</f>
        <v>0</v>
      </c>
      <c r="O147" s="304"/>
    </row>
    <row r="148" spans="1:15">
      <c r="A148" s="325">
        <f>Sponsor!A152</f>
        <v>60250</v>
      </c>
      <c r="B148" s="148"/>
      <c r="C148" s="102" t="str">
        <f>Sponsor!C152</f>
        <v>Less than $25K</v>
      </c>
      <c r="D148" s="124">
        <f>Sponsor!E152</f>
        <v>0</v>
      </c>
      <c r="E148" s="892" t="s">
        <v>679</v>
      </c>
      <c r="F148" s="920"/>
      <c r="G148" s="920"/>
      <c r="H148" s="920"/>
      <c r="I148" s="921"/>
      <c r="J148" s="673">
        <f>UMYr1!AA130</f>
        <v>0</v>
      </c>
      <c r="K148" s="673">
        <f t="shared" si="37"/>
        <v>0</v>
      </c>
      <c r="L148" s="888" t="s">
        <v>679</v>
      </c>
      <c r="M148" s="889"/>
      <c r="N148" s="168">
        <f>K148</f>
        <v>0</v>
      </c>
      <c r="O148" s="303">
        <v>60250</v>
      </c>
    </row>
    <row r="149" spans="1:15">
      <c r="A149" s="325">
        <f>Sponsor!A153</f>
        <v>60270</v>
      </c>
      <c r="B149" s="149"/>
      <c r="C149" s="102" t="str">
        <f>Sponsor!C153</f>
        <v>Greater than $25K</v>
      </c>
      <c r="D149" s="125">
        <f>Sponsor!E153</f>
        <v>0</v>
      </c>
      <c r="E149" s="922"/>
      <c r="F149" s="923"/>
      <c r="G149" s="923"/>
      <c r="H149" s="923"/>
      <c r="I149" s="924"/>
      <c r="J149" s="673">
        <f>J147-J148</f>
        <v>0</v>
      </c>
      <c r="K149" s="673">
        <f t="shared" si="37"/>
        <v>0</v>
      </c>
      <c r="L149" s="890"/>
      <c r="M149" s="891"/>
      <c r="N149" s="169">
        <f>K149</f>
        <v>0</v>
      </c>
      <c r="O149" s="303">
        <v>60270</v>
      </c>
    </row>
    <row r="150" spans="1:15">
      <c r="A150" s="324"/>
      <c r="B150" s="115">
        <f>Sponsor!B154</f>
        <v>10</v>
      </c>
      <c r="C150" s="677" t="str">
        <f>IF(Sponsor!C154="","",Sponsor!C154)</f>
        <v/>
      </c>
      <c r="D150" s="638">
        <f>Sponsor!E154</f>
        <v>0</v>
      </c>
      <c r="E150" s="686"/>
      <c r="F150" s="686"/>
      <c r="G150" s="686"/>
      <c r="H150" s="686"/>
      <c r="I150" s="686"/>
      <c r="J150" s="638">
        <f>SUM(E150:I150)</f>
        <v>0</v>
      </c>
      <c r="K150" s="638">
        <f t="shared" si="37"/>
        <v>0</v>
      </c>
      <c r="L150" s="143"/>
      <c r="M150" s="143"/>
      <c r="N150" s="167">
        <f>D150+J150+L150+M150</f>
        <v>0</v>
      </c>
      <c r="O150" s="304"/>
    </row>
    <row r="151" spans="1:15">
      <c r="A151" s="325">
        <f>Sponsor!A155</f>
        <v>60250</v>
      </c>
      <c r="B151" s="148"/>
      <c r="C151" s="102" t="str">
        <f>Sponsor!C155</f>
        <v>Less than $25K</v>
      </c>
      <c r="D151" s="124">
        <f>Sponsor!E155</f>
        <v>0</v>
      </c>
      <c r="E151" s="892" t="s">
        <v>679</v>
      </c>
      <c r="F151" s="920"/>
      <c r="G151" s="920"/>
      <c r="H151" s="920"/>
      <c r="I151" s="921"/>
      <c r="J151" s="673">
        <f>UMYr1!AA131</f>
        <v>0</v>
      </c>
      <c r="K151" s="673">
        <f t="shared" si="37"/>
        <v>0</v>
      </c>
      <c r="L151" s="888" t="s">
        <v>679</v>
      </c>
      <c r="M151" s="889"/>
      <c r="N151" s="168">
        <f>K151</f>
        <v>0</v>
      </c>
      <c r="O151" s="303">
        <v>60250</v>
      </c>
    </row>
    <row r="152" spans="1:15">
      <c r="A152" s="325">
        <f>Sponsor!A156</f>
        <v>60270</v>
      </c>
      <c r="B152" s="148"/>
      <c r="C152" s="102" t="str">
        <f>Sponsor!C156</f>
        <v>Greater than $25K</v>
      </c>
      <c r="D152" s="125">
        <f>Sponsor!E156</f>
        <v>0</v>
      </c>
      <c r="E152" s="922"/>
      <c r="F152" s="923"/>
      <c r="G152" s="923"/>
      <c r="H152" s="923"/>
      <c r="I152" s="924"/>
      <c r="J152" s="673">
        <f>J150-J151</f>
        <v>0</v>
      </c>
      <c r="K152" s="673">
        <f t="shared" si="37"/>
        <v>0</v>
      </c>
      <c r="L152" s="890"/>
      <c r="M152" s="891"/>
      <c r="N152" s="169">
        <f>K152</f>
        <v>0</v>
      </c>
      <c r="O152" s="303">
        <v>60270</v>
      </c>
    </row>
    <row r="153" spans="1:15">
      <c r="A153" s="324"/>
      <c r="B153" s="115">
        <f>Sponsor!B157</f>
        <v>11</v>
      </c>
      <c r="C153" s="677" t="str">
        <f>IF(Sponsor!C157="","",Sponsor!C157)</f>
        <v/>
      </c>
      <c r="D153" s="638">
        <f>Sponsor!E157</f>
        <v>0</v>
      </c>
      <c r="E153" s="686"/>
      <c r="F153" s="686"/>
      <c r="G153" s="686"/>
      <c r="H153" s="686"/>
      <c r="I153" s="686"/>
      <c r="J153" s="638">
        <f>SUM(E153:I153)</f>
        <v>0</v>
      </c>
      <c r="K153" s="638">
        <f t="shared" si="37"/>
        <v>0</v>
      </c>
      <c r="L153" s="143"/>
      <c r="M153" s="143"/>
      <c r="N153" s="167">
        <f>D153+J153+L153+M153</f>
        <v>0</v>
      </c>
      <c r="O153" s="304"/>
    </row>
    <row r="154" spans="1:15">
      <c r="A154" s="325">
        <f>Sponsor!A158</f>
        <v>60250</v>
      </c>
      <c r="B154" s="148"/>
      <c r="C154" s="102" t="str">
        <f>Sponsor!C158</f>
        <v>Less than $25K</v>
      </c>
      <c r="D154" s="124">
        <f>Sponsor!E158</f>
        <v>0</v>
      </c>
      <c r="E154" s="892" t="s">
        <v>679</v>
      </c>
      <c r="F154" s="920"/>
      <c r="G154" s="920"/>
      <c r="H154" s="920"/>
      <c r="I154" s="921"/>
      <c r="J154" s="673">
        <f>UMYr1!AA132</f>
        <v>0</v>
      </c>
      <c r="K154" s="673">
        <f t="shared" si="37"/>
        <v>0</v>
      </c>
      <c r="L154" s="888" t="s">
        <v>679</v>
      </c>
      <c r="M154" s="889"/>
      <c r="N154" s="168">
        <f>K154</f>
        <v>0</v>
      </c>
      <c r="O154" s="303">
        <v>60250</v>
      </c>
    </row>
    <row r="155" spans="1:15">
      <c r="A155" s="325">
        <f>Sponsor!A159</f>
        <v>60270</v>
      </c>
      <c r="B155" s="148"/>
      <c r="C155" s="102" t="str">
        <f>Sponsor!C159</f>
        <v>Greater than $25K</v>
      </c>
      <c r="D155" s="125">
        <f>Sponsor!E159</f>
        <v>0</v>
      </c>
      <c r="E155" s="922"/>
      <c r="F155" s="923"/>
      <c r="G155" s="923"/>
      <c r="H155" s="923"/>
      <c r="I155" s="924"/>
      <c r="J155" s="673">
        <f>J153-J154</f>
        <v>0</v>
      </c>
      <c r="K155" s="673">
        <f t="shared" si="37"/>
        <v>0</v>
      </c>
      <c r="L155" s="890"/>
      <c r="M155" s="891"/>
      <c r="N155" s="169">
        <f>K155</f>
        <v>0</v>
      </c>
      <c r="O155" s="303">
        <v>60270</v>
      </c>
    </row>
    <row r="156" spans="1:15">
      <c r="A156" s="324"/>
      <c r="B156" s="115">
        <f>Sponsor!B160</f>
        <v>12</v>
      </c>
      <c r="C156" s="677" t="str">
        <f>IF(Sponsor!C160="","",Sponsor!C160)</f>
        <v/>
      </c>
      <c r="D156" s="638">
        <f>Sponsor!E160</f>
        <v>0</v>
      </c>
      <c r="E156" s="686"/>
      <c r="F156" s="686"/>
      <c r="G156" s="686"/>
      <c r="H156" s="686"/>
      <c r="I156" s="686"/>
      <c r="J156" s="638">
        <f>SUM(E156:I156)</f>
        <v>0</v>
      </c>
      <c r="K156" s="638">
        <f t="shared" si="37"/>
        <v>0</v>
      </c>
      <c r="L156" s="143"/>
      <c r="M156" s="143"/>
      <c r="N156" s="167">
        <f>D156+J156+L156+M156</f>
        <v>0</v>
      </c>
      <c r="O156" s="304"/>
    </row>
    <row r="157" spans="1:15">
      <c r="A157" s="325">
        <f>Sponsor!A161</f>
        <v>60250</v>
      </c>
      <c r="B157" s="148"/>
      <c r="C157" s="102" t="str">
        <f>Sponsor!C161</f>
        <v>Less than $25K</v>
      </c>
      <c r="D157" s="124">
        <f>Sponsor!E161</f>
        <v>0</v>
      </c>
      <c r="E157" s="892" t="s">
        <v>679</v>
      </c>
      <c r="F157" s="920"/>
      <c r="G157" s="920"/>
      <c r="H157" s="920"/>
      <c r="I157" s="921"/>
      <c r="J157" s="673">
        <f>UMYr1!AA133</f>
        <v>0</v>
      </c>
      <c r="K157" s="673">
        <f t="shared" si="37"/>
        <v>0</v>
      </c>
      <c r="L157" s="888" t="s">
        <v>679</v>
      </c>
      <c r="M157" s="889"/>
      <c r="N157" s="168">
        <f>K157</f>
        <v>0</v>
      </c>
      <c r="O157" s="303">
        <v>60250</v>
      </c>
    </row>
    <row r="158" spans="1:15">
      <c r="A158" s="325">
        <f>Sponsor!A162</f>
        <v>60270</v>
      </c>
      <c r="B158" s="148"/>
      <c r="C158" s="102" t="str">
        <f>Sponsor!C162</f>
        <v>Greater than $25K</v>
      </c>
      <c r="D158" s="125">
        <f>Sponsor!E162</f>
        <v>0</v>
      </c>
      <c r="E158" s="922"/>
      <c r="F158" s="923"/>
      <c r="G158" s="923"/>
      <c r="H158" s="923"/>
      <c r="I158" s="924"/>
      <c r="J158" s="673">
        <f>J156-J157</f>
        <v>0</v>
      </c>
      <c r="K158" s="673">
        <f t="shared" si="37"/>
        <v>0</v>
      </c>
      <c r="L158" s="890"/>
      <c r="M158" s="891"/>
      <c r="N158" s="169">
        <f>K158</f>
        <v>0</v>
      </c>
      <c r="O158" s="303">
        <v>60270</v>
      </c>
    </row>
    <row r="159" spans="1:15">
      <c r="A159" s="324"/>
      <c r="B159" s="115">
        <f>Sponsor!B163</f>
        <v>13</v>
      </c>
      <c r="C159" s="677" t="str">
        <f>IF(Sponsor!C163="","",Sponsor!C163)</f>
        <v/>
      </c>
      <c r="D159" s="638">
        <f>Sponsor!E163</f>
        <v>0</v>
      </c>
      <c r="E159" s="686"/>
      <c r="F159" s="686"/>
      <c r="G159" s="686"/>
      <c r="H159" s="686"/>
      <c r="I159" s="686"/>
      <c r="J159" s="638">
        <f>SUM(E159:I159)</f>
        <v>0</v>
      </c>
      <c r="K159" s="638">
        <f t="shared" si="37"/>
        <v>0</v>
      </c>
      <c r="L159" s="143"/>
      <c r="M159" s="143"/>
      <c r="N159" s="167">
        <f>D159+J159+L159+M159</f>
        <v>0</v>
      </c>
      <c r="O159" s="304"/>
    </row>
    <row r="160" spans="1:15">
      <c r="A160" s="325">
        <f>Sponsor!A164</f>
        <v>60250</v>
      </c>
      <c r="B160" s="148"/>
      <c r="C160" s="102" t="str">
        <f>Sponsor!C164</f>
        <v>Less than $25K</v>
      </c>
      <c r="D160" s="124">
        <f>Sponsor!E164</f>
        <v>0</v>
      </c>
      <c r="E160" s="892" t="s">
        <v>679</v>
      </c>
      <c r="F160" s="920"/>
      <c r="G160" s="920"/>
      <c r="H160" s="920"/>
      <c r="I160" s="921"/>
      <c r="J160" s="673">
        <f>UMYr1!AA134</f>
        <v>0</v>
      </c>
      <c r="K160" s="673">
        <f t="shared" si="37"/>
        <v>0</v>
      </c>
      <c r="L160" s="888" t="s">
        <v>679</v>
      </c>
      <c r="M160" s="889"/>
      <c r="N160" s="168">
        <f>K160</f>
        <v>0</v>
      </c>
      <c r="O160" s="303">
        <v>60250</v>
      </c>
    </row>
    <row r="161" spans="1:24">
      <c r="A161" s="325">
        <f>Sponsor!A165</f>
        <v>60270</v>
      </c>
      <c r="B161" s="148"/>
      <c r="C161" s="102" t="str">
        <f>Sponsor!C165</f>
        <v>Greater than $25K</v>
      </c>
      <c r="D161" s="125">
        <f>Sponsor!E165</f>
        <v>0</v>
      </c>
      <c r="E161" s="922"/>
      <c r="F161" s="923"/>
      <c r="G161" s="923"/>
      <c r="H161" s="923"/>
      <c r="I161" s="924"/>
      <c r="J161" s="673">
        <f>J159-J160</f>
        <v>0</v>
      </c>
      <c r="K161" s="673">
        <f t="shared" si="37"/>
        <v>0</v>
      </c>
      <c r="L161" s="890"/>
      <c r="M161" s="891"/>
      <c r="N161" s="169">
        <f>K161</f>
        <v>0</v>
      </c>
      <c r="O161" s="303">
        <v>60270</v>
      </c>
      <c r="R161" s="256"/>
      <c r="S161" s="256"/>
      <c r="T161" s="256"/>
      <c r="U161" s="256"/>
      <c r="V161" s="256"/>
      <c r="W161" s="256"/>
      <c r="X161" s="256"/>
    </row>
    <row r="162" spans="1:24">
      <c r="A162" s="324"/>
      <c r="B162" s="115">
        <f>Sponsor!B166</f>
        <v>14</v>
      </c>
      <c r="C162" s="677" t="str">
        <f>IF(Sponsor!C166="","",Sponsor!C166)</f>
        <v/>
      </c>
      <c r="D162" s="638">
        <f>Sponsor!E166</f>
        <v>0</v>
      </c>
      <c r="E162" s="686"/>
      <c r="F162" s="686"/>
      <c r="G162" s="686"/>
      <c r="H162" s="686"/>
      <c r="I162" s="686"/>
      <c r="J162" s="638">
        <f>SUM(E162:I162)</f>
        <v>0</v>
      </c>
      <c r="K162" s="638">
        <f t="shared" si="37"/>
        <v>0</v>
      </c>
      <c r="L162" s="143"/>
      <c r="M162" s="143"/>
      <c r="N162" s="167">
        <f>D162+J162+L162+M162</f>
        <v>0</v>
      </c>
      <c r="O162" s="304"/>
    </row>
    <row r="163" spans="1:24">
      <c r="A163" s="325">
        <f>Sponsor!A167</f>
        <v>60250</v>
      </c>
      <c r="B163" s="148"/>
      <c r="C163" s="102" t="str">
        <f>Sponsor!C167</f>
        <v>Less than $25K</v>
      </c>
      <c r="D163" s="124">
        <f>Sponsor!E167</f>
        <v>0</v>
      </c>
      <c r="E163" s="892" t="s">
        <v>679</v>
      </c>
      <c r="F163" s="920"/>
      <c r="G163" s="920"/>
      <c r="H163" s="920"/>
      <c r="I163" s="921"/>
      <c r="J163" s="673">
        <f>UMYr1!AA135</f>
        <v>0</v>
      </c>
      <c r="K163" s="673">
        <f t="shared" si="37"/>
        <v>0</v>
      </c>
      <c r="L163" s="888" t="s">
        <v>679</v>
      </c>
      <c r="M163" s="889"/>
      <c r="N163" s="168">
        <f>K163</f>
        <v>0</v>
      </c>
      <c r="O163" s="303">
        <v>60250</v>
      </c>
    </row>
    <row r="164" spans="1:24">
      <c r="A164" s="325">
        <f>Sponsor!A168</f>
        <v>60270</v>
      </c>
      <c r="B164" s="148"/>
      <c r="C164" s="102" t="str">
        <f>Sponsor!C168</f>
        <v>Greater than $25K</v>
      </c>
      <c r="D164" s="125">
        <f>Sponsor!E168</f>
        <v>0</v>
      </c>
      <c r="E164" s="922"/>
      <c r="F164" s="923"/>
      <c r="G164" s="923"/>
      <c r="H164" s="923"/>
      <c r="I164" s="924"/>
      <c r="J164" s="673">
        <f>J162-J163</f>
        <v>0</v>
      </c>
      <c r="K164" s="673">
        <f t="shared" si="37"/>
        <v>0</v>
      </c>
      <c r="L164" s="890"/>
      <c r="M164" s="891"/>
      <c r="N164" s="169">
        <f>K164</f>
        <v>0</v>
      </c>
      <c r="O164" s="303">
        <v>60270</v>
      </c>
    </row>
    <row r="165" spans="1:24">
      <c r="A165" s="324"/>
      <c r="B165" s="115">
        <f>Sponsor!B169</f>
        <v>15</v>
      </c>
      <c r="C165" s="677" t="str">
        <f>IF(Sponsor!C169="","",Sponsor!C169)</f>
        <v/>
      </c>
      <c r="D165" s="638">
        <f>Sponsor!E169</f>
        <v>0</v>
      </c>
      <c r="E165" s="686"/>
      <c r="F165" s="686"/>
      <c r="G165" s="686"/>
      <c r="H165" s="686"/>
      <c r="I165" s="686"/>
      <c r="J165" s="638">
        <f>SUM(E165:I165)</f>
        <v>0</v>
      </c>
      <c r="K165" s="638">
        <f t="shared" si="37"/>
        <v>0</v>
      </c>
      <c r="L165" s="143"/>
      <c r="M165" s="143"/>
      <c r="N165" s="167">
        <f>D165+J165+L165+M165</f>
        <v>0</v>
      </c>
      <c r="O165" s="304"/>
    </row>
    <row r="166" spans="1:24">
      <c r="A166" s="325">
        <f>Sponsor!A170</f>
        <v>60250</v>
      </c>
      <c r="B166" s="148"/>
      <c r="C166" s="102" t="str">
        <f>Sponsor!C170</f>
        <v>Less than $25K</v>
      </c>
      <c r="D166" s="124">
        <f>Sponsor!E170</f>
        <v>0</v>
      </c>
      <c r="E166" s="892" t="s">
        <v>679</v>
      </c>
      <c r="F166" s="920"/>
      <c r="G166" s="920"/>
      <c r="H166" s="920"/>
      <c r="I166" s="921"/>
      <c r="J166" s="673">
        <f>UMYr1!AA136</f>
        <v>0</v>
      </c>
      <c r="K166" s="673">
        <f t="shared" si="37"/>
        <v>0</v>
      </c>
      <c r="L166" s="888" t="s">
        <v>679</v>
      </c>
      <c r="M166" s="889"/>
      <c r="N166" s="168">
        <f>K166</f>
        <v>0</v>
      </c>
      <c r="O166" s="303">
        <v>60250</v>
      </c>
    </row>
    <row r="167" spans="1:24">
      <c r="A167" s="325">
        <f>Sponsor!A171</f>
        <v>60270</v>
      </c>
      <c r="B167" s="148"/>
      <c r="C167" s="102" t="str">
        <f>Sponsor!C171</f>
        <v>Greater than $25K</v>
      </c>
      <c r="D167" s="125">
        <f>Sponsor!E171</f>
        <v>0</v>
      </c>
      <c r="E167" s="922"/>
      <c r="F167" s="923"/>
      <c r="G167" s="923"/>
      <c r="H167" s="923"/>
      <c r="I167" s="924"/>
      <c r="J167" s="673">
        <f>J165-J166</f>
        <v>0</v>
      </c>
      <c r="K167" s="673">
        <f t="shared" si="37"/>
        <v>0</v>
      </c>
      <c r="L167" s="890"/>
      <c r="M167" s="891"/>
      <c r="N167" s="169">
        <f>K167</f>
        <v>0</v>
      </c>
      <c r="O167" s="303">
        <v>60270</v>
      </c>
    </row>
    <row r="168" spans="1:24">
      <c r="A168" s="324"/>
      <c r="B168" s="115">
        <f>Sponsor!B172</f>
        <v>16</v>
      </c>
      <c r="C168" s="677" t="str">
        <f>IF(Sponsor!C172="","",Sponsor!C172)</f>
        <v/>
      </c>
      <c r="D168" s="638">
        <f>Sponsor!E172</f>
        <v>0</v>
      </c>
      <c r="E168" s="686"/>
      <c r="F168" s="686"/>
      <c r="G168" s="686"/>
      <c r="H168" s="686"/>
      <c r="I168" s="686"/>
      <c r="J168" s="638">
        <f>SUM(E168:I168)</f>
        <v>0</v>
      </c>
      <c r="K168" s="638">
        <f t="shared" si="37"/>
        <v>0</v>
      </c>
      <c r="L168" s="143"/>
      <c r="M168" s="143"/>
      <c r="N168" s="167">
        <f>D168+J168+L168+M168</f>
        <v>0</v>
      </c>
      <c r="O168" s="304"/>
    </row>
    <row r="169" spans="1:24">
      <c r="A169" s="325">
        <f>Sponsor!A173</f>
        <v>60250</v>
      </c>
      <c r="B169" s="148"/>
      <c r="C169" s="102" t="str">
        <f>Sponsor!C173</f>
        <v>Less than $25K</v>
      </c>
      <c r="D169" s="124">
        <f>Sponsor!E173</f>
        <v>0</v>
      </c>
      <c r="E169" s="892" t="s">
        <v>679</v>
      </c>
      <c r="F169" s="920"/>
      <c r="G169" s="920"/>
      <c r="H169" s="920"/>
      <c r="I169" s="921"/>
      <c r="J169" s="673">
        <f>UMYr1!AA137</f>
        <v>0</v>
      </c>
      <c r="K169" s="673">
        <f t="shared" si="37"/>
        <v>0</v>
      </c>
      <c r="L169" s="888" t="s">
        <v>679</v>
      </c>
      <c r="M169" s="889"/>
      <c r="N169" s="168">
        <f>K169</f>
        <v>0</v>
      </c>
      <c r="O169" s="303">
        <v>60250</v>
      </c>
    </row>
    <row r="170" spans="1:24">
      <c r="A170" s="325">
        <f>Sponsor!A174</f>
        <v>60270</v>
      </c>
      <c r="B170" s="148"/>
      <c r="C170" s="102" t="str">
        <f>Sponsor!C174</f>
        <v>Greater than $25K</v>
      </c>
      <c r="D170" s="125">
        <f>Sponsor!E174</f>
        <v>0</v>
      </c>
      <c r="E170" s="922"/>
      <c r="F170" s="923"/>
      <c r="G170" s="923"/>
      <c r="H170" s="923"/>
      <c r="I170" s="924"/>
      <c r="J170" s="673">
        <f>J168-J169</f>
        <v>0</v>
      </c>
      <c r="K170" s="673">
        <f t="shared" si="37"/>
        <v>0</v>
      </c>
      <c r="L170" s="890"/>
      <c r="M170" s="891"/>
      <c r="N170" s="169">
        <f>K170</f>
        <v>0</v>
      </c>
      <c r="O170" s="303">
        <v>60270</v>
      </c>
    </row>
    <row r="171" spans="1:24">
      <c r="A171" s="324"/>
      <c r="B171" s="115">
        <f>Sponsor!B175</f>
        <v>17</v>
      </c>
      <c r="C171" s="677" t="str">
        <f>IF(Sponsor!C175="","",Sponsor!C175)</f>
        <v/>
      </c>
      <c r="D171" s="638">
        <f>Sponsor!E175</f>
        <v>0</v>
      </c>
      <c r="E171" s="686"/>
      <c r="F171" s="686"/>
      <c r="G171" s="686"/>
      <c r="H171" s="686"/>
      <c r="I171" s="686"/>
      <c r="J171" s="638">
        <f>SUM(E171:I171)</f>
        <v>0</v>
      </c>
      <c r="K171" s="638">
        <f t="shared" si="37"/>
        <v>0</v>
      </c>
      <c r="L171" s="143"/>
      <c r="M171" s="143"/>
      <c r="N171" s="167">
        <f>D171+J171+L171+M171</f>
        <v>0</v>
      </c>
      <c r="O171" s="304"/>
    </row>
    <row r="172" spans="1:24">
      <c r="A172" s="325">
        <f>Sponsor!A176</f>
        <v>60250</v>
      </c>
      <c r="B172" s="148"/>
      <c r="C172" s="102" t="str">
        <f>Sponsor!C176</f>
        <v>Less than $25K</v>
      </c>
      <c r="D172" s="124">
        <f>Sponsor!E176</f>
        <v>0</v>
      </c>
      <c r="E172" s="892" t="s">
        <v>679</v>
      </c>
      <c r="F172" s="920"/>
      <c r="G172" s="920"/>
      <c r="H172" s="920"/>
      <c r="I172" s="921"/>
      <c r="J172" s="673">
        <f>UMYr1!AA138</f>
        <v>0</v>
      </c>
      <c r="K172" s="673">
        <f t="shared" si="37"/>
        <v>0</v>
      </c>
      <c r="L172" s="888" t="s">
        <v>679</v>
      </c>
      <c r="M172" s="889"/>
      <c r="N172" s="168">
        <f>K172</f>
        <v>0</v>
      </c>
      <c r="O172" s="303">
        <v>60250</v>
      </c>
    </row>
    <row r="173" spans="1:24">
      <c r="A173" s="325">
        <f>Sponsor!A177</f>
        <v>60270</v>
      </c>
      <c r="B173" s="148"/>
      <c r="C173" s="102" t="str">
        <f>Sponsor!C177</f>
        <v>Greater than $25K</v>
      </c>
      <c r="D173" s="125">
        <f>Sponsor!E177</f>
        <v>0</v>
      </c>
      <c r="E173" s="922"/>
      <c r="F173" s="923"/>
      <c r="G173" s="923"/>
      <c r="H173" s="923"/>
      <c r="I173" s="924"/>
      <c r="J173" s="673">
        <f>J171-J172</f>
        <v>0</v>
      </c>
      <c r="K173" s="673">
        <f t="shared" si="37"/>
        <v>0</v>
      </c>
      <c r="L173" s="890"/>
      <c r="M173" s="891"/>
      <c r="N173" s="169">
        <f>K173</f>
        <v>0</v>
      </c>
      <c r="O173" s="303">
        <v>60270</v>
      </c>
    </row>
    <row r="174" spans="1:24" s="256" customFormat="1">
      <c r="A174" s="324"/>
      <c r="B174" s="115">
        <f>Sponsor!B178</f>
        <v>18</v>
      </c>
      <c r="C174" s="677" t="str">
        <f>IF(Sponsor!C178="","",Sponsor!C178)</f>
        <v/>
      </c>
      <c r="D174" s="638">
        <f>Sponsor!E178</f>
        <v>0</v>
      </c>
      <c r="E174" s="686"/>
      <c r="F174" s="686"/>
      <c r="G174" s="686"/>
      <c r="H174" s="686"/>
      <c r="I174" s="686"/>
      <c r="J174" s="638">
        <f>SUM(E174:I174)</f>
        <v>0</v>
      </c>
      <c r="K174" s="638">
        <f t="shared" si="37"/>
        <v>0</v>
      </c>
      <c r="L174" s="143"/>
      <c r="M174" s="143"/>
      <c r="N174" s="167">
        <f>D174+J174+L174+M174</f>
        <v>0</v>
      </c>
      <c r="O174" s="304"/>
      <c r="R174"/>
      <c r="S174"/>
      <c r="T174"/>
      <c r="U174"/>
      <c r="V174"/>
      <c r="W174"/>
      <c r="X174"/>
    </row>
    <row r="175" spans="1:24">
      <c r="A175" s="325">
        <f>Sponsor!A179</f>
        <v>60250</v>
      </c>
      <c r="B175" s="148"/>
      <c r="C175" s="102" t="str">
        <f>Sponsor!C179</f>
        <v>Less than $25K</v>
      </c>
      <c r="D175" s="124">
        <f>Sponsor!E179</f>
        <v>0</v>
      </c>
      <c r="E175" s="892" t="s">
        <v>679</v>
      </c>
      <c r="F175" s="920"/>
      <c r="G175" s="920"/>
      <c r="H175" s="920"/>
      <c r="I175" s="921"/>
      <c r="J175" s="673">
        <f>UMYr1!AA139</f>
        <v>0</v>
      </c>
      <c r="K175" s="673">
        <f t="shared" si="37"/>
        <v>0</v>
      </c>
      <c r="L175" s="888" t="s">
        <v>679</v>
      </c>
      <c r="M175" s="889"/>
      <c r="N175" s="168">
        <f>K175</f>
        <v>0</v>
      </c>
      <c r="O175" s="303">
        <v>60250</v>
      </c>
    </row>
    <row r="176" spans="1:24">
      <c r="A176" s="325">
        <f>Sponsor!A180</f>
        <v>60270</v>
      </c>
      <c r="B176" s="148"/>
      <c r="C176" s="102" t="str">
        <f>Sponsor!C180</f>
        <v>Greater than $25K</v>
      </c>
      <c r="D176" s="125">
        <f>Sponsor!E180</f>
        <v>0</v>
      </c>
      <c r="E176" s="922"/>
      <c r="F176" s="923"/>
      <c r="G176" s="923"/>
      <c r="H176" s="923"/>
      <c r="I176" s="924"/>
      <c r="J176" s="673">
        <f>J174-J175</f>
        <v>0</v>
      </c>
      <c r="K176" s="673">
        <f t="shared" si="37"/>
        <v>0</v>
      </c>
      <c r="L176" s="890"/>
      <c r="M176" s="891"/>
      <c r="N176" s="169">
        <f>K176</f>
        <v>0</v>
      </c>
      <c r="O176" s="303">
        <v>60270</v>
      </c>
    </row>
    <row r="177" spans="1:15">
      <c r="A177" s="324"/>
      <c r="B177" s="115">
        <f>Sponsor!B181</f>
        <v>19</v>
      </c>
      <c r="C177" s="677" t="str">
        <f>IF(Sponsor!C181="","",Sponsor!C181)</f>
        <v/>
      </c>
      <c r="D177" s="638">
        <f>Sponsor!E181</f>
        <v>0</v>
      </c>
      <c r="E177" s="686"/>
      <c r="F177" s="686"/>
      <c r="G177" s="686"/>
      <c r="H177" s="686"/>
      <c r="I177" s="686"/>
      <c r="J177" s="638">
        <f>SUM(E177:I177)</f>
        <v>0</v>
      </c>
      <c r="K177" s="638">
        <f t="shared" si="37"/>
        <v>0</v>
      </c>
      <c r="L177" s="143"/>
      <c r="M177" s="143"/>
      <c r="N177" s="167">
        <f>D177+J177+L177+M177</f>
        <v>0</v>
      </c>
      <c r="O177" s="304"/>
    </row>
    <row r="178" spans="1:15">
      <c r="A178" s="325">
        <f>Sponsor!A182</f>
        <v>60250</v>
      </c>
      <c r="B178" s="148"/>
      <c r="C178" s="102" t="str">
        <f>Sponsor!C182</f>
        <v>Less than $25K</v>
      </c>
      <c r="D178" s="124">
        <f>Sponsor!E182</f>
        <v>0</v>
      </c>
      <c r="E178" s="892" t="s">
        <v>679</v>
      </c>
      <c r="F178" s="920"/>
      <c r="G178" s="920"/>
      <c r="H178" s="920"/>
      <c r="I178" s="921"/>
      <c r="J178" s="673">
        <f>UMYr1!AA140</f>
        <v>0</v>
      </c>
      <c r="K178" s="673">
        <f t="shared" si="37"/>
        <v>0</v>
      </c>
      <c r="L178" s="888" t="s">
        <v>679</v>
      </c>
      <c r="M178" s="889"/>
      <c r="N178" s="168">
        <f>K178</f>
        <v>0</v>
      </c>
      <c r="O178" s="303">
        <v>60250</v>
      </c>
    </row>
    <row r="179" spans="1:15">
      <c r="A179" s="325">
        <f>Sponsor!A183</f>
        <v>60270</v>
      </c>
      <c r="B179" s="148"/>
      <c r="C179" s="102" t="str">
        <f>Sponsor!C183</f>
        <v>Greater than $25K</v>
      </c>
      <c r="D179" s="125">
        <f>Sponsor!E183</f>
        <v>0</v>
      </c>
      <c r="E179" s="922"/>
      <c r="F179" s="923"/>
      <c r="G179" s="923"/>
      <c r="H179" s="923"/>
      <c r="I179" s="924"/>
      <c r="J179" s="673">
        <f>J177-J178</f>
        <v>0</v>
      </c>
      <c r="K179" s="673">
        <f t="shared" si="37"/>
        <v>0</v>
      </c>
      <c r="L179" s="890"/>
      <c r="M179" s="891"/>
      <c r="N179" s="169">
        <f>K179</f>
        <v>0</v>
      </c>
      <c r="O179" s="303">
        <v>60270</v>
      </c>
    </row>
    <row r="180" spans="1:15">
      <c r="A180" s="324"/>
      <c r="B180" s="115">
        <f>Sponsor!B184</f>
        <v>20</v>
      </c>
      <c r="C180" s="677" t="str">
        <f>IF(Sponsor!C184="","",Sponsor!C184)</f>
        <v/>
      </c>
      <c r="D180" s="638">
        <f>Sponsor!E184</f>
        <v>0</v>
      </c>
      <c r="E180" s="686"/>
      <c r="F180" s="686"/>
      <c r="G180" s="686"/>
      <c r="H180" s="686"/>
      <c r="I180" s="686"/>
      <c r="J180" s="638">
        <f>SUM(E180:I180)</f>
        <v>0</v>
      </c>
      <c r="K180" s="638">
        <f t="shared" si="37"/>
        <v>0</v>
      </c>
      <c r="L180" s="143"/>
      <c r="M180" s="143"/>
      <c r="N180" s="167">
        <f>D180+J180+L180+M180</f>
        <v>0</v>
      </c>
      <c r="O180" s="304"/>
    </row>
    <row r="181" spans="1:15">
      <c r="A181" s="325">
        <f>Sponsor!A185</f>
        <v>60250</v>
      </c>
      <c r="B181" s="148"/>
      <c r="C181" s="102" t="str">
        <f>Sponsor!C185</f>
        <v>Less than $25K</v>
      </c>
      <c r="D181" s="124">
        <f>Sponsor!E185</f>
        <v>0</v>
      </c>
      <c r="E181" s="892" t="s">
        <v>679</v>
      </c>
      <c r="F181" s="920"/>
      <c r="G181" s="920"/>
      <c r="H181" s="920"/>
      <c r="I181" s="921"/>
      <c r="J181" s="673">
        <f>UMYr1!AA141</f>
        <v>0</v>
      </c>
      <c r="K181" s="673">
        <f t="shared" si="37"/>
        <v>0</v>
      </c>
      <c r="L181" s="888" t="s">
        <v>679</v>
      </c>
      <c r="M181" s="889"/>
      <c r="N181" s="168">
        <f>K181</f>
        <v>0</v>
      </c>
      <c r="O181" s="303">
        <v>60250</v>
      </c>
    </row>
    <row r="182" spans="1:15" ht="13.5" thickBot="1">
      <c r="A182" s="326">
        <f>Sponsor!A186</f>
        <v>60270</v>
      </c>
      <c r="B182" s="148"/>
      <c r="C182" s="102" t="str">
        <f>Sponsor!C186</f>
        <v>Greater than $25K</v>
      </c>
      <c r="D182" s="125">
        <f>Sponsor!E186</f>
        <v>0</v>
      </c>
      <c r="E182" s="922"/>
      <c r="F182" s="923"/>
      <c r="G182" s="923"/>
      <c r="H182" s="923"/>
      <c r="I182" s="924"/>
      <c r="J182" s="171">
        <f>J180-J181</f>
        <v>0</v>
      </c>
      <c r="K182" s="171">
        <f t="shared" si="37"/>
        <v>0</v>
      </c>
      <c r="L182" s="951"/>
      <c r="M182" s="952"/>
      <c r="N182" s="169">
        <f>K182</f>
        <v>0</v>
      </c>
      <c r="O182" s="303">
        <v>60270</v>
      </c>
    </row>
    <row r="183" spans="1:15" ht="13.5" thickBot="1">
      <c r="A183" s="327"/>
      <c r="B183" s="919" t="s">
        <v>602</v>
      </c>
      <c r="C183" s="1055"/>
      <c r="D183" s="308">
        <f>Sponsor!E187</f>
        <v>0</v>
      </c>
      <c r="E183" s="309">
        <f>E123+E126+E129+E132+E135+E138+E141+E144+E147+E150+E153+E156+E159+E162+E165+E168+E171+E174+E177+E180</f>
        <v>0</v>
      </c>
      <c r="F183" s="309">
        <f t="shared" ref="F183:M183" si="38">F123+F126+F129+F132+F135+F138+F141+F144+F147+F150+F153+F156+F159+F162+F165+F168+F171+F174+F177+F180</f>
        <v>0</v>
      </c>
      <c r="G183" s="309">
        <f t="shared" si="38"/>
        <v>0</v>
      </c>
      <c r="H183" s="309">
        <f t="shared" si="38"/>
        <v>0</v>
      </c>
      <c r="I183" s="309">
        <f t="shared" si="38"/>
        <v>0</v>
      </c>
      <c r="J183" s="309">
        <f t="shared" si="38"/>
        <v>0</v>
      </c>
      <c r="K183" s="309">
        <f t="shared" si="38"/>
        <v>0</v>
      </c>
      <c r="L183" s="309">
        <f t="shared" si="38"/>
        <v>0</v>
      </c>
      <c r="M183" s="309">
        <f t="shared" si="38"/>
        <v>0</v>
      </c>
      <c r="N183" s="170">
        <f>D183+J183+L183+M183</f>
        <v>0</v>
      </c>
    </row>
  </sheetData>
  <sheetProtection algorithmName="SHA-512" hashValue="DdozQH/9kmcTMZdbIcMGiib2EUhrSf9HseAxv63V8LqNi6KYzg5zPp/tAfcjnk8ppZfgQNVt9Z3Q3scj/Z3OnQ==" saltValue="ptXOB3lWpKjbHHSYrfJeQA==" spinCount="100000" sheet="1" objects="1" scenarios="1"/>
  <mergeCells count="117">
    <mergeCell ref="L151:M152"/>
    <mergeCell ref="B75:C75"/>
    <mergeCell ref="L178:M179"/>
    <mergeCell ref="L181:M182"/>
    <mergeCell ref="L154:M155"/>
    <mergeCell ref="L157:M158"/>
    <mergeCell ref="L160:M161"/>
    <mergeCell ref="L163:M164"/>
    <mergeCell ref="L166:M167"/>
    <mergeCell ref="L169:M170"/>
    <mergeCell ref="L172:M173"/>
    <mergeCell ref="L175:M176"/>
    <mergeCell ref="E151:I152"/>
    <mergeCell ref="E163:I164"/>
    <mergeCell ref="B77:C77"/>
    <mergeCell ref="B102:C102"/>
    <mergeCell ref="B109:C109"/>
    <mergeCell ref="B79:C79"/>
    <mergeCell ref="B83:C83"/>
    <mergeCell ref="M78:M83"/>
    <mergeCell ref="B84:C84"/>
    <mergeCell ref="B80:C80"/>
    <mergeCell ref="B78:C78"/>
    <mergeCell ref="B81:C81"/>
    <mergeCell ref="O104:R104"/>
    <mergeCell ref="P105:R105"/>
    <mergeCell ref="P106:R106"/>
    <mergeCell ref="P107:R107"/>
    <mergeCell ref="P108:R108"/>
    <mergeCell ref="L127:M128"/>
    <mergeCell ref="E142:I143"/>
    <mergeCell ref="E145:I146"/>
    <mergeCell ref="B110:N110"/>
    <mergeCell ref="B120:C120"/>
    <mergeCell ref="E148:I149"/>
    <mergeCell ref="E124:I125"/>
    <mergeCell ref="E130:I131"/>
    <mergeCell ref="L142:M143"/>
    <mergeCell ref="E139:I140"/>
    <mergeCell ref="L124:M125"/>
    <mergeCell ref="L130:M131"/>
    <mergeCell ref="L133:M134"/>
    <mergeCell ref="L136:M137"/>
    <mergeCell ref="L145:M146"/>
    <mergeCell ref="E133:I134"/>
    <mergeCell ref="E136:I137"/>
    <mergeCell ref="L148:M149"/>
    <mergeCell ref="L139:M140"/>
    <mergeCell ref="E127:I128"/>
    <mergeCell ref="A1:C1"/>
    <mergeCell ref="A5:A6"/>
    <mergeCell ref="B5:B6"/>
    <mergeCell ref="B30:C30"/>
    <mergeCell ref="B13:C13"/>
    <mergeCell ref="B73:C73"/>
    <mergeCell ref="B12:C12"/>
    <mergeCell ref="B60:C60"/>
    <mergeCell ref="B62:C62"/>
    <mergeCell ref="B26:C26"/>
    <mergeCell ref="B31:C31"/>
    <mergeCell ref="B53:C53"/>
    <mergeCell ref="B67:C67"/>
    <mergeCell ref="A2:B2"/>
    <mergeCell ref="A3:B3"/>
    <mergeCell ref="A4:B4"/>
    <mergeCell ref="B36:C36"/>
    <mergeCell ref="B63:C63"/>
    <mergeCell ref="B64:N64"/>
    <mergeCell ref="B68:C68"/>
    <mergeCell ref="D4:E4"/>
    <mergeCell ref="F4:G4"/>
    <mergeCell ref="K2:L2"/>
    <mergeCell ref="O43:Q43"/>
    <mergeCell ref="P5:P6"/>
    <mergeCell ref="D54:D59"/>
    <mergeCell ref="D5:D6"/>
    <mergeCell ref="K5:K6"/>
    <mergeCell ref="B52:C52"/>
    <mergeCell ref="L54:M54"/>
    <mergeCell ref="H3:J3"/>
    <mergeCell ref="H4:J4"/>
    <mergeCell ref="K3:L3"/>
    <mergeCell ref="K4:L4"/>
    <mergeCell ref="O1:Q1"/>
    <mergeCell ref="B74:C74"/>
    <mergeCell ref="B69:C69"/>
    <mergeCell ref="O32:Q32"/>
    <mergeCell ref="O37:Q37"/>
    <mergeCell ref="D1:N1"/>
    <mergeCell ref="E5:J5"/>
    <mergeCell ref="C5:C6"/>
    <mergeCell ref="Q5:Q6"/>
    <mergeCell ref="B42:C42"/>
    <mergeCell ref="O14:Q14"/>
    <mergeCell ref="B66:C66"/>
    <mergeCell ref="O2:Q4"/>
    <mergeCell ref="O5:O6"/>
    <mergeCell ref="D2:G2"/>
    <mergeCell ref="H2:J2"/>
    <mergeCell ref="F55:J59"/>
    <mergeCell ref="N5:N6"/>
    <mergeCell ref="O7:Q7"/>
    <mergeCell ref="O27:Q27"/>
    <mergeCell ref="L5:M5"/>
    <mergeCell ref="B23:C23"/>
    <mergeCell ref="D3:G3"/>
    <mergeCell ref="O54:O59"/>
    <mergeCell ref="B183:C183"/>
    <mergeCell ref="E178:I179"/>
    <mergeCell ref="E181:I182"/>
    <mergeCell ref="E154:I155"/>
    <mergeCell ref="E157:I158"/>
    <mergeCell ref="E160:I161"/>
    <mergeCell ref="E172:I173"/>
    <mergeCell ref="E175:I176"/>
    <mergeCell ref="E169:I170"/>
    <mergeCell ref="E166:I167"/>
  </mergeCells>
  <phoneticPr fontId="0" type="noConversion"/>
  <conditionalFormatting sqref="A8">
    <cfRule type="expression" dxfId="418" priority="122" stopIfTrue="1">
      <formula>OR($AH$8&gt;0,$AJ$8&gt;0)</formula>
    </cfRule>
  </conditionalFormatting>
  <conditionalFormatting sqref="A9">
    <cfRule type="expression" dxfId="417" priority="59" stopIfTrue="1">
      <formula>OR($AH$9&gt;0,$AJ$9&gt;0)</formula>
    </cfRule>
  </conditionalFormatting>
  <conditionalFormatting sqref="A10">
    <cfRule type="expression" dxfId="416" priority="58" stopIfTrue="1">
      <formula>OR($AH$10&gt;0,$AJ$10&gt;0)</formula>
    </cfRule>
  </conditionalFormatting>
  <conditionalFormatting sqref="A11">
    <cfRule type="expression" dxfId="415" priority="57" stopIfTrue="1">
      <formula>OR($AH$11&gt;0,$AJ$11&gt;0)</formula>
    </cfRule>
  </conditionalFormatting>
  <conditionalFormatting sqref="A86">
    <cfRule type="expression" dxfId="414" priority="113" stopIfTrue="1">
      <formula>OR($AH$15&gt;0,$AJ$15&gt;0)</formula>
    </cfRule>
  </conditionalFormatting>
  <conditionalFormatting sqref="A87">
    <cfRule type="expression" dxfId="413" priority="112" stopIfTrue="1">
      <formula>OR($AH$16&gt;0,$AJ$16&gt;0)</formula>
    </cfRule>
  </conditionalFormatting>
  <conditionalFormatting sqref="A88">
    <cfRule type="expression" dxfId="412" priority="111" stopIfTrue="1">
      <formula>OR($AH$17&gt;0,$AJ$17&gt;0)</formula>
    </cfRule>
  </conditionalFormatting>
  <conditionalFormatting sqref="A89">
    <cfRule type="expression" dxfId="411" priority="110" stopIfTrue="1">
      <formula>OR($AH$18&gt;0,$AJ$18&gt;0)</formula>
    </cfRule>
  </conditionalFormatting>
  <conditionalFormatting sqref="A90">
    <cfRule type="expression" dxfId="410" priority="109" stopIfTrue="1">
      <formula>OR($AH$19&gt;0,$AJ$19&gt;0)</formula>
    </cfRule>
  </conditionalFormatting>
  <conditionalFormatting sqref="A91">
    <cfRule type="expression" dxfId="409" priority="108" stopIfTrue="1">
      <formula>OR($AH$20&gt;0,$AJ$20&gt;0)</formula>
    </cfRule>
  </conditionalFormatting>
  <conditionalFormatting sqref="A92">
    <cfRule type="expression" dxfId="408" priority="107" stopIfTrue="1">
      <formula>OR($AH$21&gt;0,$AJ$21&gt;0)</formula>
    </cfRule>
  </conditionalFormatting>
  <conditionalFormatting sqref="A93">
    <cfRule type="expression" dxfId="407" priority="106" stopIfTrue="1">
      <formula>OR($AH$22&gt;0,$AJ$22&gt;0)</formula>
    </cfRule>
  </conditionalFormatting>
  <conditionalFormatting sqref="A94">
    <cfRule type="expression" dxfId="406" priority="105" stopIfTrue="1">
      <formula>OR($AH$23&gt;0,$AJ$23&gt;0)</formula>
    </cfRule>
  </conditionalFormatting>
  <conditionalFormatting sqref="A95">
    <cfRule type="expression" dxfId="405" priority="104" stopIfTrue="1">
      <formula>OR($AH$24&gt;0,$AJ$24&gt;0)</formula>
    </cfRule>
  </conditionalFormatting>
  <conditionalFormatting sqref="A96">
    <cfRule type="expression" dxfId="404" priority="103" stopIfTrue="1">
      <formula>OR($AH$25&gt;0,$AJ$25&gt;0)</formula>
    </cfRule>
  </conditionalFormatting>
  <conditionalFormatting sqref="A97">
    <cfRule type="expression" dxfId="403" priority="102" stopIfTrue="1">
      <formula>OR($AH$26&gt;0,$AJ$26&gt;0)</formula>
    </cfRule>
  </conditionalFormatting>
  <conditionalFormatting sqref="A98">
    <cfRule type="expression" dxfId="402" priority="101" stopIfTrue="1">
      <formula>OR($AH$27&gt;0,$AJ$27&gt;0)</formula>
    </cfRule>
  </conditionalFormatting>
  <conditionalFormatting sqref="A99">
    <cfRule type="expression" dxfId="401" priority="100" stopIfTrue="1">
      <formula>OR($AH$28&gt;0,$AJ$28&gt;0)</formula>
    </cfRule>
  </conditionalFormatting>
  <conditionalFormatting sqref="A29">
    <cfRule type="expression" dxfId="400" priority="99" stopIfTrue="1">
      <formula>OR($AH$35&gt;0,$AJ$35&gt;0)</formula>
    </cfRule>
  </conditionalFormatting>
  <conditionalFormatting sqref="A104">
    <cfRule type="expression" dxfId="399" priority="97" stopIfTrue="1">
      <formula>OR($AH$37&gt;0,$AJ$37&gt;0)</formula>
    </cfRule>
  </conditionalFormatting>
  <conditionalFormatting sqref="A105">
    <cfRule type="expression" dxfId="398" priority="96" stopIfTrue="1">
      <formula>OR($AH$38&gt;0,$AJ$38&gt;0)</formula>
    </cfRule>
  </conditionalFormatting>
  <conditionalFormatting sqref="A106">
    <cfRule type="expression" dxfId="397" priority="95" stopIfTrue="1">
      <formula>OR($AH$39&gt;0,$AJ$39&gt;0)</formula>
    </cfRule>
  </conditionalFormatting>
  <conditionalFormatting sqref="A111">
    <cfRule type="expression" dxfId="396" priority="92" stopIfTrue="1">
      <formula>OR($AH$45&gt;0,$AJ$45&gt;0)</formula>
    </cfRule>
  </conditionalFormatting>
  <conditionalFormatting sqref="A112">
    <cfRule type="expression" dxfId="395" priority="91" stopIfTrue="1">
      <formula>OR($AH$46&gt;0,$AJ$46&gt;0)</formula>
    </cfRule>
  </conditionalFormatting>
  <conditionalFormatting sqref="A113">
    <cfRule type="expression" dxfId="394" priority="90" stopIfTrue="1">
      <formula>OR($AH$47&gt;0,$AJ$47&gt;0)</formula>
    </cfRule>
  </conditionalFormatting>
  <conditionalFormatting sqref="A114">
    <cfRule type="expression" dxfId="393" priority="89" stopIfTrue="1">
      <formula>OR($AH$48&gt;0,$AJ$48&gt;0)</formula>
    </cfRule>
  </conditionalFormatting>
  <conditionalFormatting sqref="A115">
    <cfRule type="expression" dxfId="392" priority="88" stopIfTrue="1">
      <formula>OR($AH$49&gt;0,$AJ$49&gt;0)</formula>
    </cfRule>
  </conditionalFormatting>
  <conditionalFormatting sqref="A116">
    <cfRule type="expression" dxfId="391" priority="87" stopIfTrue="1">
      <formula>OR($AH$50&gt;0,$AJ$50&gt;0)</formula>
    </cfRule>
  </conditionalFormatting>
  <conditionalFormatting sqref="A117">
    <cfRule type="expression" dxfId="390" priority="86" stopIfTrue="1">
      <formula>OR($AH$51&gt;0,$AJ$51&gt;0)</formula>
    </cfRule>
  </conditionalFormatting>
  <conditionalFormatting sqref="A28">
    <cfRule type="expression" dxfId="389" priority="129" stopIfTrue="1">
      <formula>OR($AH$34&gt;0,$AJ$34&gt;0)</formula>
    </cfRule>
  </conditionalFormatting>
  <conditionalFormatting sqref="A100">
    <cfRule type="expression" dxfId="388" priority="144" stopIfTrue="1">
      <formula>OR($AH$19&gt;0,$AJ$19&gt;0)</formula>
    </cfRule>
  </conditionalFormatting>
  <conditionalFormatting sqref="A101">
    <cfRule type="expression" dxfId="387" priority="145" stopIfTrue="1">
      <formula>OR($AH$30&gt;0,$AJ$30&gt;0)</formula>
    </cfRule>
  </conditionalFormatting>
  <conditionalFormatting sqref="A107">
    <cfRule type="expression" dxfId="386" priority="149" stopIfTrue="1">
      <formula>OR($AH$40&gt;0,$AJ$40&gt;0)</formula>
    </cfRule>
  </conditionalFormatting>
  <conditionalFormatting sqref="A108">
    <cfRule type="expression" dxfId="385" priority="150" stopIfTrue="1">
      <formula>OR($AH$41&gt;0,$AJ$41&gt;0)</formula>
    </cfRule>
  </conditionalFormatting>
  <conditionalFormatting sqref="A118">
    <cfRule type="expression" dxfId="384" priority="158" stopIfTrue="1">
      <formula>OR($AH$52&gt;0,$AJ$52&gt;0)</formula>
    </cfRule>
  </conditionalFormatting>
  <conditionalFormatting sqref="A119">
    <cfRule type="expression" dxfId="383" priority="159" stopIfTrue="1">
      <formula>OR($AH$53&gt;0,$AJ$53&gt;0)</formula>
    </cfRule>
  </conditionalFormatting>
  <conditionalFormatting sqref="E24:E25">
    <cfRule type="expression" dxfId="382" priority="160" stopIfTrue="1">
      <formula>$AC$31&gt;0</formula>
    </cfRule>
  </conditionalFormatting>
  <conditionalFormatting sqref="F24:F25">
    <cfRule type="expression" dxfId="381" priority="161" stopIfTrue="1">
      <formula>$AD$31&gt;0</formula>
    </cfRule>
  </conditionalFormatting>
  <conditionalFormatting sqref="G24:G25">
    <cfRule type="expression" dxfId="380" priority="162" stopIfTrue="1">
      <formula>$AE$31&gt;0</formula>
    </cfRule>
  </conditionalFormatting>
  <conditionalFormatting sqref="H24:H25">
    <cfRule type="expression" dxfId="379" priority="163" stopIfTrue="1">
      <formula>$AF$31&gt;0</formula>
    </cfRule>
  </conditionalFormatting>
  <conditionalFormatting sqref="I24:I25">
    <cfRule type="expression" dxfId="378" priority="164" stopIfTrue="1">
      <formula>$AG$31&gt;0</formula>
    </cfRule>
  </conditionalFormatting>
  <conditionalFormatting sqref="E30 E109">
    <cfRule type="expression" dxfId="377" priority="165" stopIfTrue="1">
      <formula>$AC$42&gt;0</formula>
    </cfRule>
  </conditionalFormatting>
  <conditionalFormatting sqref="F30 F109">
    <cfRule type="expression" dxfId="376" priority="166" stopIfTrue="1">
      <formula>$AD$42&gt;0</formula>
    </cfRule>
  </conditionalFormatting>
  <conditionalFormatting sqref="G30 G109">
    <cfRule type="expression" dxfId="375" priority="167" stopIfTrue="1">
      <formula>$AE$42&gt;0</formula>
    </cfRule>
  </conditionalFormatting>
  <conditionalFormatting sqref="H30 H109">
    <cfRule type="expression" dxfId="374" priority="168" stopIfTrue="1">
      <formula>$AF$42&gt;0</formula>
    </cfRule>
  </conditionalFormatting>
  <conditionalFormatting sqref="I30 I109">
    <cfRule type="expression" dxfId="373" priority="169" stopIfTrue="1">
      <formula>$AG$42&gt;0</formula>
    </cfRule>
  </conditionalFormatting>
  <conditionalFormatting sqref="E51 E120">
    <cfRule type="expression" dxfId="372" priority="170" stopIfTrue="1">
      <formula>$AC$54&gt;0</formula>
    </cfRule>
  </conditionalFormatting>
  <conditionalFormatting sqref="F51 F120">
    <cfRule type="expression" dxfId="371" priority="171" stopIfTrue="1">
      <formula>$AD$54&gt;0</formula>
    </cfRule>
  </conditionalFormatting>
  <conditionalFormatting sqref="G51 G120">
    <cfRule type="expression" dxfId="370" priority="172" stopIfTrue="1">
      <formula>$AE$54&gt;0</formula>
    </cfRule>
  </conditionalFormatting>
  <conditionalFormatting sqref="H51 H120">
    <cfRule type="expression" dxfId="369" priority="173" stopIfTrue="1">
      <formula>$AF$54&gt;0</formula>
    </cfRule>
  </conditionalFormatting>
  <conditionalFormatting sqref="I51 I120">
    <cfRule type="expression" dxfId="368" priority="174" stopIfTrue="1">
      <formula>$AG$54&gt;0</formula>
    </cfRule>
  </conditionalFormatting>
  <conditionalFormatting sqref="A12">
    <cfRule type="expression" dxfId="367" priority="179" stopIfTrue="1">
      <formula>OR($AH$32&gt;0,$AJ$32&gt;0)</formula>
    </cfRule>
  </conditionalFormatting>
  <conditionalFormatting sqref="A30">
    <cfRule type="expression" dxfId="366" priority="56" stopIfTrue="1">
      <formula>OR($AH$42&gt;0,$AJ$42&gt;0)</formula>
    </cfRule>
  </conditionalFormatting>
  <conditionalFormatting sqref="A51">
    <cfRule type="expression" dxfId="365" priority="55" stopIfTrue="1">
      <formula>OR($AH$54&gt;0,$AJ$54&gt;0)</formula>
    </cfRule>
  </conditionalFormatting>
  <conditionalFormatting sqref="D8">
    <cfRule type="expression" dxfId="364" priority="54" stopIfTrue="1">
      <formula>$AJ$8&gt;0</formula>
    </cfRule>
  </conditionalFormatting>
  <conditionalFormatting sqref="D9">
    <cfRule type="expression" dxfId="363" priority="53" stopIfTrue="1">
      <formula>$AJ$9&gt;0</formula>
    </cfRule>
  </conditionalFormatting>
  <conditionalFormatting sqref="D10">
    <cfRule type="expression" dxfId="362" priority="52" stopIfTrue="1">
      <formula>$AJ$10&gt;0</formula>
    </cfRule>
  </conditionalFormatting>
  <conditionalFormatting sqref="D11">
    <cfRule type="expression" dxfId="361" priority="51" stopIfTrue="1">
      <formula>$AJ$11&gt;0</formula>
    </cfRule>
  </conditionalFormatting>
  <conditionalFormatting sqref="E12">
    <cfRule type="expression" dxfId="360" priority="50" stopIfTrue="1">
      <formula>$AC$32&gt;0</formula>
    </cfRule>
  </conditionalFormatting>
  <conditionalFormatting sqref="D28">
    <cfRule type="expression" dxfId="359" priority="49" stopIfTrue="1">
      <formula>$AJ$34&gt;0</formula>
    </cfRule>
  </conditionalFormatting>
  <conditionalFormatting sqref="D29">
    <cfRule type="expression" dxfId="358" priority="48" stopIfTrue="1">
      <formula>$AJ$35&gt;0</formula>
    </cfRule>
  </conditionalFormatting>
  <conditionalFormatting sqref="D30">
    <cfRule type="expression" dxfId="357" priority="47" stopIfTrue="1">
      <formula>$AJ$42&gt;0</formula>
    </cfRule>
  </conditionalFormatting>
  <conditionalFormatting sqref="D51">
    <cfRule type="expression" dxfId="356" priority="46" stopIfTrue="1">
      <formula>$AJ$54&gt;0</formula>
    </cfRule>
  </conditionalFormatting>
  <conditionalFormatting sqref="D12">
    <cfRule type="expression" dxfId="355" priority="45" stopIfTrue="1">
      <formula>$AJ$32&gt;0</formula>
    </cfRule>
  </conditionalFormatting>
  <conditionalFormatting sqref="D86">
    <cfRule type="expression" dxfId="354" priority="44" stopIfTrue="1">
      <formula>$AJ$15&gt;0</formula>
    </cfRule>
  </conditionalFormatting>
  <conditionalFormatting sqref="D87">
    <cfRule type="expression" dxfId="353" priority="43" stopIfTrue="1">
      <formula>$AJ$16&gt;0</formula>
    </cfRule>
  </conditionalFormatting>
  <conditionalFormatting sqref="D88">
    <cfRule type="expression" dxfId="352" priority="42" stopIfTrue="1">
      <formula>$AJ$17&gt;0</formula>
    </cfRule>
  </conditionalFormatting>
  <conditionalFormatting sqref="D89">
    <cfRule type="expression" dxfId="351" priority="41" stopIfTrue="1">
      <formula>$AJ$18&gt;0</formula>
    </cfRule>
  </conditionalFormatting>
  <conditionalFormatting sqref="D90">
    <cfRule type="expression" dxfId="350" priority="40" stopIfTrue="1">
      <formula>$AJ$19&gt;0</formula>
    </cfRule>
  </conditionalFormatting>
  <conditionalFormatting sqref="D91">
    <cfRule type="expression" dxfId="349" priority="39" stopIfTrue="1">
      <formula>$AJ$20&gt;0</formula>
    </cfRule>
  </conditionalFormatting>
  <conditionalFormatting sqref="D92">
    <cfRule type="expression" dxfId="348" priority="38" stopIfTrue="1">
      <formula>$AJ$21&gt;0</formula>
    </cfRule>
  </conditionalFormatting>
  <conditionalFormatting sqref="D93">
    <cfRule type="expression" dxfId="347" priority="37" stopIfTrue="1">
      <formula>$AJ$22&gt;0</formula>
    </cfRule>
  </conditionalFormatting>
  <conditionalFormatting sqref="D94">
    <cfRule type="expression" dxfId="346" priority="36" stopIfTrue="1">
      <formula>$AJ$23&gt;0</formula>
    </cfRule>
  </conditionalFormatting>
  <conditionalFormatting sqref="D95">
    <cfRule type="expression" dxfId="345" priority="35" stopIfTrue="1">
      <formula>$AJ$24&gt;0</formula>
    </cfRule>
  </conditionalFormatting>
  <conditionalFormatting sqref="D96">
    <cfRule type="expression" dxfId="344" priority="34" stopIfTrue="1">
      <formula>$AJ$25&gt;0</formula>
    </cfRule>
  </conditionalFormatting>
  <conditionalFormatting sqref="D97">
    <cfRule type="expression" dxfId="343" priority="33" stopIfTrue="1">
      <formula>$AJ$26&gt;0</formula>
    </cfRule>
  </conditionalFormatting>
  <conditionalFormatting sqref="D98">
    <cfRule type="expression" dxfId="342" priority="32" stopIfTrue="1">
      <formula>$AJ$27&gt;0</formula>
    </cfRule>
  </conditionalFormatting>
  <conditionalFormatting sqref="D99">
    <cfRule type="expression" dxfId="341" priority="31" stopIfTrue="1">
      <formula>$AJ$28&gt;0</formula>
    </cfRule>
  </conditionalFormatting>
  <conditionalFormatting sqref="D100">
    <cfRule type="expression" dxfId="340" priority="30" stopIfTrue="1">
      <formula>$AJ$29&gt;0</formula>
    </cfRule>
  </conditionalFormatting>
  <conditionalFormatting sqref="D101">
    <cfRule type="expression" dxfId="339" priority="29" stopIfTrue="1">
      <formula>$AJ$30&gt;0</formula>
    </cfRule>
  </conditionalFormatting>
  <conditionalFormatting sqref="D102">
    <cfRule type="expression" dxfId="338" priority="28" stopIfTrue="1">
      <formula>$AJ$42&gt;0</formula>
    </cfRule>
  </conditionalFormatting>
  <conditionalFormatting sqref="E102">
    <cfRule type="expression" dxfId="337" priority="27" stopIfTrue="1">
      <formula>$AC$32&gt;0</formula>
    </cfRule>
  </conditionalFormatting>
  <conditionalFormatting sqref="F102">
    <cfRule type="expression" dxfId="336" priority="26" stopIfTrue="1">
      <formula>$AD$32&gt;0</formula>
    </cfRule>
  </conditionalFormatting>
  <conditionalFormatting sqref="G102">
    <cfRule type="expression" dxfId="335" priority="25" stopIfTrue="1">
      <formula>$AE$32&gt;0</formula>
    </cfRule>
  </conditionalFormatting>
  <conditionalFormatting sqref="H102">
    <cfRule type="expression" dxfId="334" priority="24" stopIfTrue="1">
      <formula>$AF$32&gt;0</formula>
    </cfRule>
  </conditionalFormatting>
  <conditionalFormatting sqref="I102">
    <cfRule type="expression" dxfId="333" priority="23" stopIfTrue="1">
      <formula>$AG$32&gt;0</formula>
    </cfRule>
  </conditionalFormatting>
  <conditionalFormatting sqref="D104">
    <cfRule type="expression" dxfId="332" priority="22" stopIfTrue="1">
      <formula>$AJ$37&gt;0</formula>
    </cfRule>
  </conditionalFormatting>
  <conditionalFormatting sqref="D105">
    <cfRule type="expression" dxfId="331" priority="21" stopIfTrue="1">
      <formula>$AJ$38&gt;0</formula>
    </cfRule>
  </conditionalFormatting>
  <conditionalFormatting sqref="D106">
    <cfRule type="expression" dxfId="330" priority="20" stopIfTrue="1">
      <formula>$AJ$39&gt;0</formula>
    </cfRule>
  </conditionalFormatting>
  <conditionalFormatting sqref="D107">
    <cfRule type="expression" dxfId="329" priority="19" stopIfTrue="1">
      <formula>$AJ$40&gt;0</formula>
    </cfRule>
  </conditionalFormatting>
  <conditionalFormatting sqref="D108">
    <cfRule type="expression" dxfId="328" priority="18" stopIfTrue="1">
      <formula>$AJ$41&gt;0</formula>
    </cfRule>
  </conditionalFormatting>
  <conditionalFormatting sqref="D109">
    <cfRule type="expression" dxfId="327" priority="17" stopIfTrue="1">
      <formula>$AJ$42&gt;0</formula>
    </cfRule>
  </conditionalFormatting>
  <conditionalFormatting sqref="D111">
    <cfRule type="expression" dxfId="326" priority="16" stopIfTrue="1">
      <formula>$AJ$45&gt;0</formula>
    </cfRule>
  </conditionalFormatting>
  <conditionalFormatting sqref="D112">
    <cfRule type="expression" dxfId="325" priority="15" stopIfTrue="1">
      <formula>$AJ$46&gt;0</formula>
    </cfRule>
  </conditionalFormatting>
  <conditionalFormatting sqref="D113">
    <cfRule type="expression" dxfId="324" priority="14" stopIfTrue="1">
      <formula>$AJ$47&gt;0</formula>
    </cfRule>
  </conditionalFormatting>
  <conditionalFormatting sqref="D114">
    <cfRule type="expression" dxfId="323" priority="13" stopIfTrue="1">
      <formula>$AJ$48&gt;0</formula>
    </cfRule>
  </conditionalFormatting>
  <conditionalFormatting sqref="D115">
    <cfRule type="expression" dxfId="322" priority="12" stopIfTrue="1">
      <formula>$AJ$49&gt;0</formula>
    </cfRule>
  </conditionalFormatting>
  <conditionalFormatting sqref="D116">
    <cfRule type="expression" dxfId="321" priority="11" stopIfTrue="1">
      <formula>$AJ$50&gt;0</formula>
    </cfRule>
  </conditionalFormatting>
  <conditionalFormatting sqref="D117">
    <cfRule type="expression" dxfId="320" priority="10" stopIfTrue="1">
      <formula>$AJ$51&gt;0</formula>
    </cfRule>
  </conditionalFormatting>
  <conditionalFormatting sqref="D118">
    <cfRule type="expression" dxfId="319" priority="9" stopIfTrue="1">
      <formula>$AJ$52&gt;0</formula>
    </cfRule>
  </conditionalFormatting>
  <conditionalFormatting sqref="D119">
    <cfRule type="expression" dxfId="318" priority="8" stopIfTrue="1">
      <formula>$AJ$53&gt;0</formula>
    </cfRule>
  </conditionalFormatting>
  <conditionalFormatting sqref="D120">
    <cfRule type="expression" dxfId="317" priority="7" stopIfTrue="1">
      <formula>$AJ$54&gt;0</formula>
    </cfRule>
  </conditionalFormatting>
  <conditionalFormatting sqref="F12">
    <cfRule type="expression" dxfId="316" priority="6" stopIfTrue="1">
      <formula>$AD$32&gt;0</formula>
    </cfRule>
  </conditionalFormatting>
  <conditionalFormatting sqref="G12">
    <cfRule type="expression" dxfId="315" priority="5" stopIfTrue="1">
      <formula>$AE$32&gt;0</formula>
    </cfRule>
  </conditionalFormatting>
  <conditionalFormatting sqref="H12">
    <cfRule type="expression" dxfId="314" priority="4" stopIfTrue="1">
      <formula>$AF$32&gt;0</formula>
    </cfRule>
  </conditionalFormatting>
  <conditionalFormatting sqref="I12">
    <cfRule type="expression" dxfId="313" priority="3" stopIfTrue="1">
      <formula>$AG$32&gt;0</formula>
    </cfRule>
  </conditionalFormatting>
  <conditionalFormatting sqref="D24:D25">
    <cfRule type="expression" dxfId="312" priority="2" stopIfTrue="1">
      <formula>$AJ$31&gt;0</formula>
    </cfRule>
  </conditionalFormatting>
  <conditionalFormatting sqref="E54:J54 E60:J61 E55:F55 E56:E59">
    <cfRule type="expression" dxfId="311" priority="1" stopIfTrue="1">
      <formula>$AC$54&gt;0</formula>
    </cfRule>
  </conditionalFormatting>
  <printOptions horizontalCentered="1" verticalCentered="1"/>
  <pageMargins left="0.5" right="0.5" top="0.5" bottom="0.5" header="0" footer="0"/>
  <pageSetup scale="65" fitToHeight="0" orientation="portrait" blackAndWhite="1" horizontalDpi="300" verticalDpi="300" r:id="rId1"/>
  <headerFooter alignWithMargins="0"/>
  <rowBreaks count="1" manualBreakCount="1">
    <brk id="120" max="13" man="1"/>
  </rowBreaks>
  <ignoredErrors>
    <ignoredError sqref="N180 N177 N174 N171 N168 N165 N162 N159 N156 N153 N150 N147 N144 N141 N138 N135 N132 N129 N126 J80 J48:K48 Q60:Q61 N82 J12:J13 N60" formula="1"/>
    <ignoredError sqref="O105:O10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J183"/>
  <sheetViews>
    <sheetView zoomScaleNormal="100" workbookViewId="0">
      <pane ySplit="6" topLeftCell="A7" activePane="bottomLeft" state="frozen"/>
      <selection pane="bottomLeft" sqref="A1:C1"/>
      <selection activeCell="A26" sqref="A26"/>
    </sheetView>
  </sheetViews>
  <sheetFormatPr defaultColWidth="9.140625" defaultRowHeight="12.75"/>
  <cols>
    <col min="1" max="1" width="8.28515625" style="223" customWidth="1"/>
    <col min="2" max="2" width="6.7109375" style="223"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42578125" customWidth="1"/>
    <col min="19" max="19" width="9.140625" customWidth="1"/>
    <col min="20" max="26" width="9.140625" hidden="1" customWidth="1"/>
    <col min="27" max="36" width="9.140625" customWidth="1"/>
  </cols>
  <sheetData>
    <row r="1" spans="1:36" ht="30.6" customHeight="1">
      <c r="A1" s="729" t="s">
        <v>682</v>
      </c>
      <c r="B1" s="1047"/>
      <c r="C1" s="1028"/>
      <c r="D1" s="729" t="s">
        <v>434</v>
      </c>
      <c r="E1" s="842"/>
      <c r="F1" s="842"/>
      <c r="G1" s="842"/>
      <c r="H1" s="842"/>
      <c r="I1" s="842"/>
      <c r="J1" s="842"/>
      <c r="K1" s="842"/>
      <c r="L1" s="842"/>
      <c r="M1" s="842"/>
      <c r="N1" s="843"/>
      <c r="O1" s="846" t="str">
        <f>Instructions!A42</f>
        <v>ORA Budget Form Revised  10/15/24</v>
      </c>
      <c r="P1" s="847"/>
      <c r="Q1" s="847"/>
    </row>
    <row r="2" spans="1:36" ht="12.95" customHeight="1">
      <c r="A2" s="943" t="s">
        <v>435</v>
      </c>
      <c r="B2" s="1056"/>
      <c r="C2" s="192" t="s">
        <v>436</v>
      </c>
      <c r="D2" s="863" t="str">
        <f>IF(Sponsor!D2 = "", "", Sponsor!D2)</f>
        <v/>
      </c>
      <c r="E2" s="1048"/>
      <c r="F2" s="1048"/>
      <c r="G2" s="1049"/>
      <c r="H2" s="777" t="str">
        <f>UMYr1!H2</f>
        <v>People Soft Project #:</v>
      </c>
      <c r="I2" s="777"/>
      <c r="J2" s="779"/>
      <c r="K2" s="946" t="str">
        <f>IF(Sponsor!H2 = "", "", Sponsor!H2)</f>
        <v/>
      </c>
      <c r="L2" s="866"/>
      <c r="M2" s="567"/>
      <c r="N2" s="558"/>
      <c r="O2" s="859" t="s">
        <v>636</v>
      </c>
      <c r="P2" s="969"/>
      <c r="Q2" s="930"/>
    </row>
    <row r="3" spans="1:36" ht="12.95" customHeight="1">
      <c r="A3" s="944" t="s">
        <v>439</v>
      </c>
      <c r="B3" s="945"/>
      <c r="C3" s="21" t="s">
        <v>440</v>
      </c>
      <c r="D3" s="854" t="str">
        <f>IF(Sponsor!D3 = "", "", Sponsor!D3)</f>
        <v/>
      </c>
      <c r="E3" s="855"/>
      <c r="F3" s="855"/>
      <c r="G3" s="856"/>
      <c r="H3" s="777" t="s">
        <v>637</v>
      </c>
      <c r="I3" s="777"/>
      <c r="J3" s="779"/>
      <c r="K3" s="946" t="str">
        <f>IF(Sponsor!H3 = "", "", Sponsor!H3)</f>
        <v/>
      </c>
      <c r="L3" s="866"/>
      <c r="M3" s="568"/>
      <c r="N3" s="39"/>
      <c r="O3" s="970"/>
      <c r="P3" s="971"/>
      <c r="Q3" s="933"/>
    </row>
    <row r="4" spans="1:36" ht="12.95" customHeight="1">
      <c r="A4" s="864" t="str">
        <f>IF(Sponsor!A4 = "", "", Sponsor!A4)</f>
        <v/>
      </c>
      <c r="B4" s="865"/>
      <c r="C4" s="22" t="s">
        <v>638</v>
      </c>
      <c r="D4" s="854" t="str">
        <f>IF(Sponsor!D4="","",Sponsor!D4)</f>
        <v/>
      </c>
      <c r="E4" s="946"/>
      <c r="F4" s="864" t="str">
        <f>IF(Sponsor!E4="","",Sponsor!E4)</f>
        <v/>
      </c>
      <c r="G4" s="905"/>
      <c r="H4" s="777" t="s">
        <v>639</v>
      </c>
      <c r="I4" s="777"/>
      <c r="J4" s="779"/>
      <c r="K4" s="946" t="str">
        <f>IF(Sponsor!H4 = "", "", Sponsor!H4)</f>
        <v/>
      </c>
      <c r="L4" s="866"/>
      <c r="M4" s="567"/>
      <c r="N4" s="558"/>
      <c r="O4" s="972"/>
      <c r="P4" s="973"/>
      <c r="Q4" s="936"/>
    </row>
    <row r="5" spans="1:36" ht="12.95" customHeight="1">
      <c r="A5" s="849" t="s">
        <v>445</v>
      </c>
      <c r="B5" s="966" t="s">
        <v>446</v>
      </c>
      <c r="C5" s="862" t="s">
        <v>447</v>
      </c>
      <c r="D5" s="797" t="s">
        <v>433</v>
      </c>
      <c r="E5" s="857" t="s">
        <v>640</v>
      </c>
      <c r="F5" s="858"/>
      <c r="G5" s="858"/>
      <c r="H5" s="858"/>
      <c r="I5" s="858"/>
      <c r="J5" s="853"/>
      <c r="K5" s="848" t="s">
        <v>641</v>
      </c>
      <c r="L5" s="852" t="s">
        <v>642</v>
      </c>
      <c r="M5" s="853"/>
      <c r="N5" s="848" t="s">
        <v>643</v>
      </c>
      <c r="O5" s="850" t="s">
        <v>644</v>
      </c>
      <c r="P5" s="850" t="s">
        <v>645</v>
      </c>
      <c r="Q5" s="850" t="s">
        <v>641</v>
      </c>
    </row>
    <row r="6" spans="1:36" ht="12.95" customHeight="1">
      <c r="A6" s="849"/>
      <c r="B6" s="939"/>
      <c r="C6" s="787"/>
      <c r="D6" s="798"/>
      <c r="E6" s="679" t="str">
        <f>UMYr1!E6</f>
        <v/>
      </c>
      <c r="F6" s="679" t="str">
        <f>UMYr1!F6</f>
        <v/>
      </c>
      <c r="G6" s="679" t="str">
        <f>UMYr1!G6</f>
        <v/>
      </c>
      <c r="H6" s="679" t="str">
        <f>UMYr1!H6</f>
        <v/>
      </c>
      <c r="I6" s="679" t="str">
        <f>UMYr1!I6</f>
        <v/>
      </c>
      <c r="J6" s="687" t="str">
        <f>UMYr1!J6</f>
        <v>Total UM</v>
      </c>
      <c r="K6" s="849"/>
      <c r="L6" s="19" t="str">
        <f>UMYr1!L6</f>
        <v>3rd Party</v>
      </c>
      <c r="M6" s="20" t="str">
        <f>UMYr1!M6</f>
        <v>Other</v>
      </c>
      <c r="N6" s="849"/>
      <c r="O6" s="851"/>
      <c r="P6" s="851"/>
      <c r="Q6" s="928"/>
    </row>
    <row r="7" spans="1:36" ht="12.95" customHeight="1">
      <c r="A7" s="665" t="str">
        <f>IF(UMYr2!A7&lt;&gt;"",UMYr2!A7,"")</f>
        <v/>
      </c>
      <c r="B7" s="82" t="str">
        <f>IF(UMYr1!B7="","",UMYr1!B7)</f>
        <v>SENIOR PERSONNEL - names and account codes must be entered in Sponsor tab</v>
      </c>
      <c r="C7" s="28"/>
      <c r="D7" s="28"/>
      <c r="E7" s="28"/>
      <c r="F7" s="28"/>
      <c r="G7" s="28"/>
      <c r="H7" s="28"/>
      <c r="I7" s="28"/>
      <c r="J7" s="28"/>
      <c r="K7" s="28"/>
      <c r="L7" s="28"/>
      <c r="M7" s="28"/>
      <c r="N7" s="190"/>
      <c r="O7" s="1051"/>
      <c r="P7" s="1047"/>
      <c r="Q7" s="1028"/>
      <c r="S7" s="200"/>
      <c r="T7" s="197"/>
      <c r="U7" s="443"/>
      <c r="V7" s="443"/>
      <c r="W7" s="443"/>
      <c r="X7" s="443"/>
      <c r="Y7" s="443"/>
      <c r="Z7" s="443"/>
      <c r="AA7" s="63"/>
    </row>
    <row r="8" spans="1:36" ht="12.95" customHeight="1">
      <c r="A8" s="679" t="str">
        <f>IF(UMYr2!A8&lt;&gt;"",UMYr2!A8,"")</f>
        <v/>
      </c>
      <c r="B8" s="150" t="str">
        <f>IF(UMYr2!B8&lt;&gt;"",UMYr2!B8,"")</f>
        <v/>
      </c>
      <c r="C8" s="680" t="str">
        <f>IF(UMYr1!C8="","",UMYr1!C8)</f>
        <v/>
      </c>
      <c r="D8" s="105">
        <f>Sponsor!F8</f>
        <v>0</v>
      </c>
      <c r="E8" s="7"/>
      <c r="F8" s="7"/>
      <c r="G8" s="7"/>
      <c r="H8" s="7"/>
      <c r="I8" s="7"/>
      <c r="J8" s="29">
        <f t="shared" ref="J8:J13" si="0">SUM(E8:I8)</f>
        <v>0</v>
      </c>
      <c r="K8" s="30">
        <f>D8+J8</f>
        <v>0</v>
      </c>
      <c r="L8" s="7"/>
      <c r="M8" s="7"/>
      <c r="N8" s="30">
        <f t="shared" ref="N8:N13" si="1">SUM(K8:M8)</f>
        <v>0</v>
      </c>
      <c r="O8" s="263">
        <f>UMYr1!D8+UMYr2!D8+UMYr3!D8+UMYr4!D8+UMYr5!D8</f>
        <v>0</v>
      </c>
      <c r="P8" s="264">
        <f>UMYr1!J8+UMYr2!J8+UMYr3!J8+UMYr4!J8+UMYr5!J8</f>
        <v>0</v>
      </c>
      <c r="Q8" s="265">
        <f t="shared" ref="Q8:Q13" si="2">O8+P8</f>
        <v>0</v>
      </c>
      <c r="S8" s="197"/>
      <c r="T8" s="197"/>
      <c r="U8" s="146"/>
      <c r="V8" s="146"/>
      <c r="W8" s="146"/>
      <c r="X8" s="146"/>
      <c r="Y8" s="146"/>
      <c r="Z8" s="146"/>
      <c r="AC8" s="198"/>
      <c r="AD8" s="198"/>
      <c r="AE8" s="198"/>
      <c r="AF8" s="198"/>
      <c r="AG8" s="198"/>
      <c r="AH8" s="198"/>
      <c r="AJ8" s="198"/>
    </row>
    <row r="9" spans="1:36" ht="12.95" customHeight="1">
      <c r="A9" s="679" t="str">
        <f>IF(UMYr2!A9&lt;&gt;"",UMYr2!A9,"")</f>
        <v/>
      </c>
      <c r="B9" s="150" t="str">
        <f>IF(UMYr2!B9&lt;&gt;"",UMYr2!B9,"")</f>
        <v/>
      </c>
      <c r="C9" s="680" t="str">
        <f>IF(UMYr1!C9="","",UMYr1!C9)</f>
        <v/>
      </c>
      <c r="D9" s="106">
        <f>Sponsor!F9</f>
        <v>0</v>
      </c>
      <c r="E9" s="8"/>
      <c r="F9" s="8"/>
      <c r="G9" s="8"/>
      <c r="H9" s="8"/>
      <c r="I9" s="8"/>
      <c r="J9" s="31">
        <f t="shared" si="0"/>
        <v>0</v>
      </c>
      <c r="K9" s="32">
        <f>D9+J9</f>
        <v>0</v>
      </c>
      <c r="L9" s="8"/>
      <c r="M9" s="8"/>
      <c r="N9" s="32">
        <f t="shared" si="1"/>
        <v>0</v>
      </c>
      <c r="O9" s="263">
        <f>UMYr1!D9+UMYr2!D9+UMYr3!D9+UMYr4!D9+UMYr5!D9</f>
        <v>0</v>
      </c>
      <c r="P9" s="264">
        <f>UMYr1!J9+UMYr2!J9+UMYr3!J9+UMYr4!J9+UMYr5!J9</f>
        <v>0</v>
      </c>
      <c r="Q9" s="266">
        <f t="shared" si="2"/>
        <v>0</v>
      </c>
      <c r="S9" s="197"/>
      <c r="T9" s="197"/>
      <c r="U9" s="146"/>
      <c r="V9" s="146"/>
      <c r="W9" s="146"/>
      <c r="X9" s="146"/>
      <c r="Y9" s="146"/>
      <c r="Z9" s="146"/>
      <c r="AC9" s="198"/>
      <c r="AD9" s="198"/>
      <c r="AE9" s="198"/>
      <c r="AF9" s="198"/>
      <c r="AG9" s="198"/>
      <c r="AH9" s="198"/>
      <c r="AJ9" s="198"/>
    </row>
    <row r="10" spans="1:36" ht="12.95" customHeight="1">
      <c r="A10" s="679" t="str">
        <f>IF(UMYr2!A10&lt;&gt;"",UMYr2!A10,"")</f>
        <v/>
      </c>
      <c r="B10" s="150" t="str">
        <f>IF(UMYr2!B10&lt;&gt;"",UMYr2!B10,"")</f>
        <v/>
      </c>
      <c r="C10" s="680" t="str">
        <f>IF(UMYr1!C10="","",UMYr1!C10)</f>
        <v/>
      </c>
      <c r="D10" s="106">
        <f>Sponsor!F10</f>
        <v>0</v>
      </c>
      <c r="E10" s="8"/>
      <c r="F10" s="8"/>
      <c r="G10" s="8"/>
      <c r="H10" s="8"/>
      <c r="I10" s="8"/>
      <c r="J10" s="31">
        <f t="shared" si="0"/>
        <v>0</v>
      </c>
      <c r="K10" s="32">
        <f>D10+J10</f>
        <v>0</v>
      </c>
      <c r="L10" s="8"/>
      <c r="M10" s="8"/>
      <c r="N10" s="32">
        <f t="shared" si="1"/>
        <v>0</v>
      </c>
      <c r="O10" s="263">
        <f>UMYr1!D10+UMYr2!D10+UMYr3!D10+UMYr4!D10+UMYr5!D10</f>
        <v>0</v>
      </c>
      <c r="P10" s="264">
        <f>UMYr1!J10+UMYr2!J10+UMYr3!J10+UMYr4!J10+UMYr5!J10</f>
        <v>0</v>
      </c>
      <c r="Q10" s="266">
        <f t="shared" si="2"/>
        <v>0</v>
      </c>
      <c r="S10" s="197"/>
      <c r="T10" s="197"/>
      <c r="U10" s="146"/>
      <c r="V10" s="146"/>
      <c r="W10" s="146"/>
      <c r="X10" s="146"/>
      <c r="Y10" s="146"/>
      <c r="Z10" s="146"/>
      <c r="AA10" s="146"/>
      <c r="AC10" s="198"/>
      <c r="AD10" s="198"/>
      <c r="AE10" s="198"/>
      <c r="AF10" s="198"/>
      <c r="AG10" s="198"/>
      <c r="AH10" s="198"/>
      <c r="AJ10" s="198"/>
    </row>
    <row r="11" spans="1:36" ht="12.95" customHeight="1">
      <c r="A11" s="679" t="str">
        <f>IF(UMYr2!A11&lt;&gt;"",UMYr2!A11,"")</f>
        <v/>
      </c>
      <c r="B11" s="150" t="str">
        <f>IF(UMYr2!B11&lt;&gt;"",UMYr2!B11,"")</f>
        <v/>
      </c>
      <c r="C11" s="680" t="str">
        <f>IF(UMYr1!C11="","",UMYr1!C11)</f>
        <v/>
      </c>
      <c r="D11" s="106">
        <f>Sponsor!F11</f>
        <v>0</v>
      </c>
      <c r="E11" s="8"/>
      <c r="F11" s="8"/>
      <c r="G11" s="8"/>
      <c r="H11" s="8"/>
      <c r="I11" s="8"/>
      <c r="J11" s="31">
        <f t="shared" si="0"/>
        <v>0</v>
      </c>
      <c r="K11" s="32">
        <f>D11+J11</f>
        <v>0</v>
      </c>
      <c r="L11" s="8"/>
      <c r="M11" s="8"/>
      <c r="N11" s="32">
        <f t="shared" si="1"/>
        <v>0</v>
      </c>
      <c r="O11" s="263">
        <f>UMYr1!D11+UMYr2!D11+UMYr3!D11+UMYr4!D11+UMYr5!D11</f>
        <v>0</v>
      </c>
      <c r="P11" s="264">
        <f>UMYr1!J11+UMYr2!J11+UMYr3!J11+UMYr4!J11+UMYr5!J11</f>
        <v>0</v>
      </c>
      <c r="Q11" s="266">
        <f t="shared" si="2"/>
        <v>0</v>
      </c>
      <c r="S11" s="197"/>
      <c r="T11" s="197"/>
      <c r="U11" s="146"/>
      <c r="V11" s="146"/>
      <c r="W11" s="146"/>
      <c r="X11" s="146"/>
      <c r="Y11" s="146"/>
      <c r="Z11" s="146"/>
      <c r="AC11" s="198"/>
      <c r="AD11" s="198"/>
      <c r="AE11" s="198"/>
      <c r="AF11" s="198"/>
      <c r="AG11" s="198"/>
      <c r="AH11" s="198"/>
      <c r="AJ11" s="198"/>
    </row>
    <row r="12" spans="1:36" ht="12.95" customHeight="1">
      <c r="A12" s="679" t="str">
        <f>IF(UMYr2!A12&lt;&gt;"",UMYr2!A12,"")</f>
        <v>Below</v>
      </c>
      <c r="B12" s="879" t="s">
        <v>469</v>
      </c>
      <c r="C12" s="763"/>
      <c r="D12" s="108">
        <f>Sponsor!F12</f>
        <v>0</v>
      </c>
      <c r="E12" s="33">
        <f>E102</f>
        <v>0</v>
      </c>
      <c r="F12" s="23">
        <f>F102</f>
        <v>0</v>
      </c>
      <c r="G12" s="23">
        <f>G102</f>
        <v>0</v>
      </c>
      <c r="H12" s="23">
        <f>H102</f>
        <v>0</v>
      </c>
      <c r="I12" s="23">
        <f>I102</f>
        <v>0</v>
      </c>
      <c r="J12" s="31">
        <f t="shared" si="0"/>
        <v>0</v>
      </c>
      <c r="K12" s="25">
        <f>K102</f>
        <v>0</v>
      </c>
      <c r="L12" s="33">
        <f>L102</f>
        <v>0</v>
      </c>
      <c r="M12" s="23">
        <f>M102</f>
        <v>0</v>
      </c>
      <c r="N12" s="25">
        <f t="shared" si="1"/>
        <v>0</v>
      </c>
      <c r="O12" s="263">
        <f>UMYr1!D12+UMYr2!D12+UMYr3!D12+UMYr4!D12+UMYr5!D12</f>
        <v>0</v>
      </c>
      <c r="P12" s="264">
        <f>UMYr1!J12+UMYr2!J12+UMYr3!J12+UMYr4!J12+UMYr5!J12</f>
        <v>0</v>
      </c>
      <c r="Q12" s="266">
        <f t="shared" si="2"/>
        <v>0</v>
      </c>
      <c r="S12" s="197"/>
      <c r="T12" s="197"/>
      <c r="AJ12" s="198"/>
    </row>
    <row r="13" spans="1:36" ht="12.95" customHeight="1">
      <c r="A13" s="5" t="str">
        <f>IF(UMYr2!A13&lt;&gt;"",UMYr2!A13,"")</f>
        <v/>
      </c>
      <c r="B13" s="752" t="s">
        <v>473</v>
      </c>
      <c r="C13" s="753"/>
      <c r="D13" s="130">
        <f>Sponsor!F13</f>
        <v>0</v>
      </c>
      <c r="E13" s="34">
        <f>SUM(E8:E12)</f>
        <v>0</v>
      </c>
      <c r="F13" s="34">
        <f>SUM(F8:F12)</f>
        <v>0</v>
      </c>
      <c r="G13" s="34">
        <f>SUM(G8:G12)</f>
        <v>0</v>
      </c>
      <c r="H13" s="34">
        <f>SUM(H8:H12)</f>
        <v>0</v>
      </c>
      <c r="I13" s="34">
        <f>SUM(I8:I12)</f>
        <v>0</v>
      </c>
      <c r="J13" s="31">
        <f t="shared" si="0"/>
        <v>0</v>
      </c>
      <c r="K13" s="26">
        <f>SUM(K8:K12)</f>
        <v>0</v>
      </c>
      <c r="L13" s="35">
        <f>SUM(L8:L12)</f>
        <v>0</v>
      </c>
      <c r="M13" s="34">
        <f>SUM(M8:M12)</f>
        <v>0</v>
      </c>
      <c r="N13" s="26">
        <f t="shared" si="1"/>
        <v>0</v>
      </c>
      <c r="O13" s="263">
        <f>UMYr1!D13+UMYr2!D13+UMYr3!D13+UMYr4!D13+UMYr5!D13</f>
        <v>0</v>
      </c>
      <c r="P13" s="264">
        <f>UMYr1!J13+UMYr2!J13+UMYr3!J13+UMYr4!J13+UMYr5!J13</f>
        <v>0</v>
      </c>
      <c r="Q13" s="311">
        <f t="shared" si="2"/>
        <v>0</v>
      </c>
      <c r="U13" s="146"/>
      <c r="V13" s="146"/>
      <c r="W13" s="146"/>
      <c r="X13" s="146"/>
      <c r="Y13" s="146"/>
      <c r="Z13" s="146"/>
      <c r="AC13" s="198"/>
      <c r="AD13" s="198"/>
      <c r="AE13" s="198"/>
      <c r="AF13" s="198"/>
      <c r="AG13" s="198"/>
      <c r="AH13" s="198"/>
      <c r="AJ13" s="198"/>
    </row>
    <row r="14" spans="1:36" ht="12.95" customHeight="1">
      <c r="A14" s="5" t="str">
        <f>IF(UMYr2!A14&lt;&gt;"",UMYr2!A14,"")</f>
        <v/>
      </c>
      <c r="B14" s="14" t="str">
        <f>IF(UMYr1!B14="","",UMYr1!B14)</f>
        <v>OTHER PERSONNEL - account codes must be entered in Sponsor tab</v>
      </c>
      <c r="C14" s="28"/>
      <c r="D14" s="28"/>
      <c r="E14" s="28"/>
      <c r="F14" s="28"/>
      <c r="G14" s="28"/>
      <c r="H14" s="28"/>
      <c r="I14" s="28"/>
      <c r="J14" s="28"/>
      <c r="K14" s="28"/>
      <c r="L14" s="28"/>
      <c r="M14" s="28"/>
      <c r="N14" s="190"/>
      <c r="O14" s="974"/>
      <c r="P14" s="975"/>
      <c r="Q14" s="976"/>
      <c r="U14" s="146"/>
      <c r="V14" s="146"/>
      <c r="W14" s="146"/>
      <c r="X14" s="146"/>
      <c r="Y14" s="146"/>
      <c r="Z14" s="146"/>
      <c r="AC14" s="198"/>
      <c r="AD14" s="198"/>
      <c r="AE14" s="198"/>
      <c r="AF14" s="198"/>
      <c r="AG14" s="198"/>
      <c r="AH14" s="198"/>
      <c r="AJ14" s="198"/>
    </row>
    <row r="15" spans="1:36" ht="12.95" customHeight="1">
      <c r="A15" s="679">
        <f>IF(UMYr2!A15&lt;&gt;"",UMYr2!A15,"")</f>
        <v>51100</v>
      </c>
      <c r="B15" s="150" t="str">
        <f>IF(UMYr2!B15&lt;&gt;"",UMYr2!B15,"")</f>
        <v/>
      </c>
      <c r="C15" s="36" t="str">
        <f>UMYr1!C15</f>
        <v>Post Doctoral Associates</v>
      </c>
      <c r="D15" s="105">
        <f>Sponsor!F15</f>
        <v>0</v>
      </c>
      <c r="E15" s="8"/>
      <c r="F15" s="8"/>
      <c r="G15" s="8"/>
      <c r="H15" s="8"/>
      <c r="I15" s="8"/>
      <c r="J15" s="31">
        <f t="shared" ref="J15:J26" si="3">SUM(E15:I15)</f>
        <v>0</v>
      </c>
      <c r="K15" s="30">
        <f t="shared" ref="K15:K26" si="4">D15+J15</f>
        <v>0</v>
      </c>
      <c r="L15" s="8"/>
      <c r="M15" s="8"/>
      <c r="N15" s="30">
        <f t="shared" ref="N15:N26" si="5">SUM(K15:M15)</f>
        <v>0</v>
      </c>
      <c r="O15" s="263">
        <f>UMYr1!D15+UMYr2!D15+UMYr3!D15+UMYr4!D15+UMYr5!D15</f>
        <v>0</v>
      </c>
      <c r="P15" s="264">
        <f>UMYr1!J15+UMYr2!J15+UMYr3!J15+UMYr4!J15+UMYr5!J15</f>
        <v>0</v>
      </c>
      <c r="Q15" s="265">
        <f t="shared" ref="Q15:Q26" si="6">O15+P15</f>
        <v>0</v>
      </c>
      <c r="U15" s="146"/>
      <c r="V15" s="146"/>
      <c r="W15" s="146"/>
      <c r="X15" s="146"/>
      <c r="Y15" s="146"/>
      <c r="Z15" s="146"/>
      <c r="AA15" s="146"/>
      <c r="AC15" s="198"/>
      <c r="AD15" s="198"/>
      <c r="AE15" s="198"/>
      <c r="AF15" s="198"/>
      <c r="AG15" s="198"/>
      <c r="AH15" s="198"/>
      <c r="AJ15" s="198"/>
    </row>
    <row r="16" spans="1:36" ht="12.95" customHeight="1">
      <c r="A16" s="679">
        <f>IF(UMYr2!A16&lt;&gt;"",UMYr2!A16,"")</f>
        <v>51100</v>
      </c>
      <c r="B16" s="150" t="str">
        <f>IF(UMYr2!B16&lt;&gt;"",UMYr2!B16,"")</f>
        <v/>
      </c>
      <c r="C16" s="37" t="str">
        <f>UMYr1!C16</f>
        <v>Other Professionals</v>
      </c>
      <c r="D16" s="106">
        <f>Sponsor!F16</f>
        <v>0</v>
      </c>
      <c r="E16" s="8"/>
      <c r="F16" s="8"/>
      <c r="G16" s="8"/>
      <c r="H16" s="8"/>
      <c r="I16" s="8"/>
      <c r="J16" s="31">
        <f t="shared" si="3"/>
        <v>0</v>
      </c>
      <c r="K16" s="32">
        <f t="shared" si="4"/>
        <v>0</v>
      </c>
      <c r="L16" s="8"/>
      <c r="M16" s="8"/>
      <c r="N16" s="32">
        <f t="shared" si="5"/>
        <v>0</v>
      </c>
      <c r="O16" s="263">
        <f>UMYr1!D16+UMYr2!D16+UMYr3!D16+UMYr4!D16+UMYr5!D16</f>
        <v>0</v>
      </c>
      <c r="P16" s="264">
        <f>UMYr1!J16+UMYr2!J16+UMYr3!J16+UMYr4!J16+UMYr5!J16</f>
        <v>0</v>
      </c>
      <c r="Q16" s="266">
        <f t="shared" si="6"/>
        <v>0</v>
      </c>
      <c r="U16" s="146"/>
      <c r="V16" s="146"/>
      <c r="W16" s="146"/>
      <c r="X16" s="146"/>
      <c r="Y16" s="146"/>
      <c r="Z16" s="146"/>
      <c r="AC16" s="198"/>
      <c r="AD16" s="198"/>
      <c r="AE16" s="198"/>
      <c r="AF16" s="198"/>
      <c r="AG16" s="198"/>
      <c r="AH16" s="198"/>
      <c r="AJ16" s="198"/>
    </row>
    <row r="17" spans="1:36" ht="12.95" customHeight="1">
      <c r="A17" s="679">
        <f>IF(UMYr2!A17&lt;&gt;"",UMYr2!A17,"")</f>
        <v>53601</v>
      </c>
      <c r="B17" s="150" t="str">
        <f>IF(UMYr2!B17&lt;&gt;"",UMYr2!B17,"")</f>
        <v/>
      </c>
      <c r="C17" s="37" t="str">
        <f>UMYr1!C17</f>
        <v>Graduate Students</v>
      </c>
      <c r="D17" s="106">
        <f>Sponsor!F17</f>
        <v>0</v>
      </c>
      <c r="E17" s="8"/>
      <c r="F17" s="8"/>
      <c r="G17" s="8"/>
      <c r="H17" s="8"/>
      <c r="I17" s="8"/>
      <c r="J17" s="31">
        <f t="shared" si="3"/>
        <v>0</v>
      </c>
      <c r="K17" s="32">
        <f t="shared" si="4"/>
        <v>0</v>
      </c>
      <c r="L17" s="8"/>
      <c r="M17" s="8"/>
      <c r="N17" s="32">
        <f t="shared" si="5"/>
        <v>0</v>
      </c>
      <c r="O17" s="263">
        <f>UMYr1!D17+UMYr2!D17+UMYr3!D17+UMYr4!D17+UMYr5!D17</f>
        <v>0</v>
      </c>
      <c r="P17" s="264">
        <f>UMYr1!J17+UMYr2!J17+UMYr3!J17+UMYr4!J17+UMYr5!J17</f>
        <v>0</v>
      </c>
      <c r="Q17" s="266">
        <f t="shared" si="6"/>
        <v>0</v>
      </c>
      <c r="U17" s="146"/>
      <c r="V17" s="146"/>
      <c r="W17" s="146"/>
      <c r="X17" s="146"/>
      <c r="Y17" s="146"/>
      <c r="Z17" s="146"/>
      <c r="AC17" s="198"/>
      <c r="AD17" s="198"/>
      <c r="AE17" s="198"/>
      <c r="AF17" s="198"/>
      <c r="AG17" s="198"/>
      <c r="AH17" s="198"/>
      <c r="AJ17" s="198"/>
    </row>
    <row r="18" spans="1:36" ht="12.95" customHeight="1">
      <c r="A18" s="679">
        <f>IF(UMYr2!A18&lt;&gt;"",UMYr2!A18,"")</f>
        <v>53300</v>
      </c>
      <c r="B18" s="150" t="str">
        <f>IF(UMYr2!B18&lt;&gt;"",UMYr2!B18,"")</f>
        <v/>
      </c>
      <c r="C18" s="37" t="str">
        <f>UMYr1!C18</f>
        <v>Undergraduate Students</v>
      </c>
      <c r="D18" s="106">
        <f>Sponsor!F18</f>
        <v>0</v>
      </c>
      <c r="E18" s="8"/>
      <c r="F18" s="8"/>
      <c r="G18" s="8"/>
      <c r="H18" s="8"/>
      <c r="I18" s="8"/>
      <c r="J18" s="31">
        <f t="shared" si="3"/>
        <v>0</v>
      </c>
      <c r="K18" s="32">
        <f t="shared" si="4"/>
        <v>0</v>
      </c>
      <c r="L18" s="8"/>
      <c r="M18" s="8"/>
      <c r="N18" s="32">
        <f t="shared" si="5"/>
        <v>0</v>
      </c>
      <c r="O18" s="263">
        <f>UMYr1!D18+UMYr2!D18+UMYr3!D18+UMYr4!D18+UMYr5!D18</f>
        <v>0</v>
      </c>
      <c r="P18" s="264">
        <f>UMYr1!J18+UMYr2!J18+UMYr3!J18+UMYr4!J18+UMYr5!J18</f>
        <v>0</v>
      </c>
      <c r="Q18" s="266">
        <f t="shared" si="6"/>
        <v>0</v>
      </c>
      <c r="U18" s="146"/>
      <c r="V18" s="146"/>
      <c r="W18" s="146"/>
      <c r="X18" s="146"/>
      <c r="Y18" s="146"/>
      <c r="Z18" s="146"/>
      <c r="AC18" s="198"/>
      <c r="AD18" s="198"/>
      <c r="AE18" s="198"/>
      <c r="AF18" s="198"/>
      <c r="AG18" s="198"/>
      <c r="AH18" s="198"/>
      <c r="AJ18" s="198"/>
    </row>
    <row r="19" spans="1:36" ht="12.95" customHeight="1">
      <c r="A19" s="679">
        <f>IF(UMYr2!A19&lt;&gt;"",UMYr2!A19,"")</f>
        <v>52200</v>
      </c>
      <c r="B19" s="150" t="str">
        <f>IF(UMYr2!B19&lt;&gt;"",UMYr2!B19,"")</f>
        <v/>
      </c>
      <c r="C19" s="37" t="str">
        <f>UMYr1!C19</f>
        <v>Regular Classified Employees</v>
      </c>
      <c r="D19" s="106">
        <f>Sponsor!F19</f>
        <v>0</v>
      </c>
      <c r="E19" s="8"/>
      <c r="F19" s="8"/>
      <c r="G19" s="8"/>
      <c r="H19" s="8"/>
      <c r="I19" s="8"/>
      <c r="J19" s="31">
        <f t="shared" si="3"/>
        <v>0</v>
      </c>
      <c r="K19" s="32">
        <f t="shared" si="4"/>
        <v>0</v>
      </c>
      <c r="L19" s="8"/>
      <c r="M19" s="8"/>
      <c r="N19" s="32">
        <f t="shared" si="5"/>
        <v>0</v>
      </c>
      <c r="O19" s="263">
        <f>UMYr1!D19+UMYr2!D19+UMYr3!D19+UMYr4!D19+UMYr5!D19</f>
        <v>0</v>
      </c>
      <c r="P19" s="264">
        <f>UMYr1!J19+UMYr2!J19+UMYr3!J19+UMYr4!J19+UMYr5!J19</f>
        <v>0</v>
      </c>
      <c r="Q19" s="266">
        <f t="shared" si="6"/>
        <v>0</v>
      </c>
      <c r="U19" s="146"/>
      <c r="V19" s="146"/>
      <c r="W19" s="146"/>
      <c r="X19" s="146"/>
      <c r="Y19" s="146"/>
      <c r="Z19" s="146"/>
      <c r="AA19" s="146"/>
      <c r="AC19" s="198"/>
      <c r="AD19" s="198"/>
      <c r="AE19" s="198"/>
      <c r="AF19" s="198"/>
      <c r="AG19" s="198"/>
      <c r="AH19" s="198"/>
      <c r="AJ19" s="198"/>
    </row>
    <row r="20" spans="1:36" ht="12.95" customHeight="1">
      <c r="A20" s="679">
        <f>IF(UMYr2!A20&lt;&gt;"",UMYr2!A20,"")</f>
        <v>51012</v>
      </c>
      <c r="B20" s="150" t="str">
        <f>IF(UMYr2!B20&lt;&gt;"",UMYr2!B20,"")</f>
        <v/>
      </c>
      <c r="C20" s="37" t="str">
        <f>UMYr1!C20</f>
        <v>Non-faculty Temp Employees</v>
      </c>
      <c r="D20" s="106">
        <f>Sponsor!F20</f>
        <v>0</v>
      </c>
      <c r="E20" s="8"/>
      <c r="F20" s="8"/>
      <c r="G20" s="8"/>
      <c r="H20" s="8"/>
      <c r="I20" s="8"/>
      <c r="J20" s="31">
        <f t="shared" si="3"/>
        <v>0</v>
      </c>
      <c r="K20" s="32">
        <f t="shared" si="4"/>
        <v>0</v>
      </c>
      <c r="L20" s="8"/>
      <c r="M20" s="8"/>
      <c r="N20" s="32">
        <f t="shared" si="5"/>
        <v>0</v>
      </c>
      <c r="O20" s="263">
        <f>UMYr1!D20+UMYr2!D20+UMYr3!D20+UMYr4!D20+UMYr5!D20</f>
        <v>0</v>
      </c>
      <c r="P20" s="264">
        <f>UMYr1!J20+UMYr2!J20+UMYr3!J20+UMYr4!J20+UMYr5!J20</f>
        <v>0</v>
      </c>
      <c r="Q20" s="266">
        <f t="shared" si="6"/>
        <v>0</v>
      </c>
      <c r="U20" s="146"/>
      <c r="V20" s="146"/>
      <c r="W20" s="146"/>
      <c r="X20" s="146"/>
      <c r="Y20" s="146"/>
      <c r="Z20" s="146"/>
      <c r="AC20" s="198"/>
      <c r="AD20" s="198"/>
      <c r="AE20" s="198"/>
      <c r="AF20" s="198"/>
      <c r="AG20" s="198"/>
      <c r="AH20" s="198"/>
      <c r="AJ20" s="198"/>
    </row>
    <row r="21" spans="1:36" ht="12.95" customHeight="1">
      <c r="A21" s="679">
        <f>IF(UMYr2!A21&lt;&gt;"",UMYr2!A21,"")</f>
        <v>52012</v>
      </c>
      <c r="B21" s="150" t="str">
        <f>IF(UMYr2!B21&lt;&gt;"",UMYr2!B21,"")</f>
        <v/>
      </c>
      <c r="C21" s="37" t="str">
        <f>UMYr1!C21</f>
        <v>Temp Classified Employees</v>
      </c>
      <c r="D21" s="106">
        <f>Sponsor!F21</f>
        <v>0</v>
      </c>
      <c r="E21" s="8"/>
      <c r="F21" s="8"/>
      <c r="G21" s="8"/>
      <c r="H21" s="8"/>
      <c r="I21" s="8"/>
      <c r="J21" s="31">
        <f t="shared" si="3"/>
        <v>0</v>
      </c>
      <c r="K21" s="32">
        <f t="shared" si="4"/>
        <v>0</v>
      </c>
      <c r="L21" s="8"/>
      <c r="M21" s="8"/>
      <c r="N21" s="32">
        <f t="shared" si="5"/>
        <v>0</v>
      </c>
      <c r="O21" s="263">
        <f>UMYr1!D21+UMYr2!D21+UMYr3!D21+UMYr4!D21+UMYr5!D21</f>
        <v>0</v>
      </c>
      <c r="P21" s="264">
        <f>UMYr1!J21+UMYr2!J21+UMYr3!J21+UMYr4!J21+UMYr5!J21</f>
        <v>0</v>
      </c>
      <c r="Q21" s="266">
        <f t="shared" si="6"/>
        <v>0</v>
      </c>
      <c r="U21" s="146"/>
      <c r="V21" s="146"/>
      <c r="W21" s="146"/>
      <c r="X21" s="146"/>
      <c r="Y21" s="146"/>
      <c r="Z21" s="146"/>
      <c r="AC21" s="198"/>
      <c r="AD21" s="198"/>
      <c r="AE21" s="198"/>
      <c r="AF21" s="198"/>
      <c r="AG21" s="198"/>
      <c r="AH21" s="198"/>
      <c r="AJ21" s="198"/>
    </row>
    <row r="22" spans="1:36" ht="12.95" customHeight="1">
      <c r="A22" s="679" t="str">
        <f>IF(UMYr2!A22&lt;&gt;"",UMYr2!A22,"")</f>
        <v/>
      </c>
      <c r="B22" s="150" t="str">
        <f>IF(UMYr2!B22&lt;&gt;"",UMYr2!B22,"")</f>
        <v>****</v>
      </c>
      <c r="C22" s="37" t="str">
        <f>UMYr1!C22</f>
        <v>Other</v>
      </c>
      <c r="D22" s="106">
        <f>Sponsor!F22</f>
        <v>0</v>
      </c>
      <c r="E22" s="8"/>
      <c r="F22" s="8"/>
      <c r="G22" s="8"/>
      <c r="H22" s="8"/>
      <c r="I22" s="8"/>
      <c r="J22" s="31">
        <f t="shared" si="3"/>
        <v>0</v>
      </c>
      <c r="K22" s="32">
        <f t="shared" si="4"/>
        <v>0</v>
      </c>
      <c r="L22" s="8"/>
      <c r="M22" s="8"/>
      <c r="N22" s="32">
        <f t="shared" si="5"/>
        <v>0</v>
      </c>
      <c r="O22" s="263">
        <f>UMYr1!D22+UMYr2!D22+UMYr3!D22+UMYr4!D22+UMYr5!D22</f>
        <v>0</v>
      </c>
      <c r="P22" s="264">
        <f>UMYr1!J22+UMYr2!J22+UMYr3!J22+UMYr4!J22+UMYr5!J22</f>
        <v>0</v>
      </c>
      <c r="Q22" s="266">
        <f t="shared" si="6"/>
        <v>0</v>
      </c>
      <c r="U22" s="146"/>
      <c r="V22" s="146"/>
      <c r="W22" s="146"/>
      <c r="X22" s="146"/>
      <c r="Y22" s="146"/>
      <c r="Z22" s="146"/>
      <c r="AC22" s="198"/>
      <c r="AD22" s="198"/>
      <c r="AE22" s="198"/>
      <c r="AF22" s="198"/>
      <c r="AG22" s="198"/>
      <c r="AH22" s="198"/>
      <c r="AJ22" s="198"/>
    </row>
    <row r="23" spans="1:36" ht="12.95" customHeight="1">
      <c r="A23" s="5" t="str">
        <f>IF(UMYr2!A23&lt;&gt;"",UMYr2!A23,"")</f>
        <v/>
      </c>
      <c r="B23" s="789" t="s">
        <v>494</v>
      </c>
      <c r="C23" s="763"/>
      <c r="D23" s="25">
        <f>Sponsor!F23</f>
        <v>0</v>
      </c>
      <c r="E23" s="23">
        <f>SUM(E15:E22)+E13</f>
        <v>0</v>
      </c>
      <c r="F23" s="23">
        <f>SUM(F15:F22)+F13</f>
        <v>0</v>
      </c>
      <c r="G23" s="23">
        <f>SUM(G15:G22)+G13</f>
        <v>0</v>
      </c>
      <c r="H23" s="23">
        <f>SUM(H15:H22)+H13</f>
        <v>0</v>
      </c>
      <c r="I23" s="23">
        <f>SUM(I15:I22)+I13</f>
        <v>0</v>
      </c>
      <c r="J23" s="31">
        <f t="shared" si="3"/>
        <v>0</v>
      </c>
      <c r="K23" s="32">
        <f t="shared" si="4"/>
        <v>0</v>
      </c>
      <c r="L23" s="23">
        <f>SUM(L15:L22)+L13</f>
        <v>0</v>
      </c>
      <c r="M23" s="23">
        <f>SUM(M15:M22)+M13</f>
        <v>0</v>
      </c>
      <c r="N23" s="25">
        <f t="shared" si="5"/>
        <v>0</v>
      </c>
      <c r="O23" s="263">
        <f>UMYr1!D23+UMYr2!D23+UMYr3!D23+UMYr4!D23+UMYr5!D23</f>
        <v>0</v>
      </c>
      <c r="P23" s="264">
        <f>UMYr1!J23+UMYr2!J23+UMYr3!J23+UMYr4!J23+UMYr5!J23</f>
        <v>0</v>
      </c>
      <c r="Q23" s="266">
        <f t="shared" si="6"/>
        <v>0</v>
      </c>
      <c r="U23" s="146"/>
      <c r="V23" s="146"/>
      <c r="W23" s="146"/>
      <c r="X23" s="146"/>
      <c r="Y23" s="146"/>
      <c r="Z23" s="146"/>
      <c r="AA23" s="146"/>
      <c r="AC23" s="198"/>
      <c r="AD23" s="198"/>
      <c r="AE23" s="198"/>
      <c r="AF23" s="198"/>
      <c r="AG23" s="198"/>
      <c r="AH23" s="198"/>
      <c r="AJ23" s="198"/>
    </row>
    <row r="24" spans="1:36" ht="12.95" customHeight="1">
      <c r="A24" s="679">
        <f>IF(UMYr2!A24&lt;&gt;"",UMYr2!A24,"")</f>
        <v>54800</v>
      </c>
      <c r="B24" s="150" t="str">
        <f>IF(UMYr2!B24&lt;&gt;"",UMYr2!B24,"")</f>
        <v/>
      </c>
      <c r="C24" s="37" t="s">
        <v>496</v>
      </c>
      <c r="D24" s="25">
        <f>Sponsor!F24</f>
        <v>0</v>
      </c>
      <c r="E24" s="23">
        <f t="shared" ref="E24:I25" si="7">E73</f>
        <v>0</v>
      </c>
      <c r="F24" s="23">
        <f t="shared" si="7"/>
        <v>0</v>
      </c>
      <c r="G24" s="23">
        <f t="shared" si="7"/>
        <v>0</v>
      </c>
      <c r="H24" s="23">
        <f t="shared" si="7"/>
        <v>0</v>
      </c>
      <c r="I24" s="23">
        <f t="shared" si="7"/>
        <v>0</v>
      </c>
      <c r="J24" s="31">
        <f t="shared" si="3"/>
        <v>0</v>
      </c>
      <c r="K24" s="32">
        <f t="shared" si="4"/>
        <v>0</v>
      </c>
      <c r="L24" s="23">
        <f>L73</f>
        <v>0</v>
      </c>
      <c r="M24" s="23">
        <f>M73</f>
        <v>0</v>
      </c>
      <c r="N24" s="25">
        <f t="shared" si="5"/>
        <v>0</v>
      </c>
      <c r="O24" s="263">
        <f>UMYr1!D24+UMYr2!D24+UMYr3!D24+UMYr4!D24+UMYr5!D24</f>
        <v>0</v>
      </c>
      <c r="P24" s="264">
        <f>UMYr1!J24+UMYr2!J24+UMYr3!J24+UMYr4!J24+UMYr5!J24</f>
        <v>0</v>
      </c>
      <c r="Q24" s="266">
        <f t="shared" si="6"/>
        <v>0</v>
      </c>
      <c r="U24" s="146"/>
      <c r="V24" s="146"/>
      <c r="W24" s="146"/>
      <c r="X24" s="146"/>
      <c r="Y24" s="146"/>
      <c r="Z24" s="146"/>
      <c r="AC24" s="198"/>
      <c r="AD24" s="198"/>
      <c r="AE24" s="198"/>
      <c r="AF24" s="198"/>
      <c r="AG24" s="198"/>
      <c r="AH24" s="198"/>
      <c r="AJ24" s="198"/>
    </row>
    <row r="25" spans="1:36" ht="12.95" customHeight="1">
      <c r="A25" s="679">
        <f>IF(UMYr2!A25&lt;&gt;"",UMYr2!A25,"")</f>
        <v>54810</v>
      </c>
      <c r="B25" s="150" t="str">
        <f>IF(UMYr2!B25&lt;&gt;"",UMYr2!B25,"")</f>
        <v/>
      </c>
      <c r="C25" s="208" t="s">
        <v>650</v>
      </c>
      <c r="D25" s="25">
        <f>Sponsor!F25</f>
        <v>0</v>
      </c>
      <c r="E25" s="23">
        <f t="shared" si="7"/>
        <v>0</v>
      </c>
      <c r="F25" s="23">
        <f t="shared" si="7"/>
        <v>0</v>
      </c>
      <c r="G25" s="23">
        <f t="shared" si="7"/>
        <v>0</v>
      </c>
      <c r="H25" s="23">
        <f t="shared" si="7"/>
        <v>0</v>
      </c>
      <c r="I25" s="23">
        <f t="shared" si="7"/>
        <v>0</v>
      </c>
      <c r="J25" s="31">
        <f t="shared" si="3"/>
        <v>0</v>
      </c>
      <c r="K25" s="32">
        <f t="shared" si="4"/>
        <v>0</v>
      </c>
      <c r="L25" s="23">
        <f>L74</f>
        <v>0</v>
      </c>
      <c r="M25" s="23">
        <f>M74</f>
        <v>0</v>
      </c>
      <c r="N25" s="25">
        <f t="shared" si="5"/>
        <v>0</v>
      </c>
      <c r="O25" s="263">
        <f>UMYr1!D25+UMYr2!D25+UMYr3!D25+UMYr4!D25+UMYr5!D25</f>
        <v>0</v>
      </c>
      <c r="P25" s="264">
        <f>UMYr1!J25+UMYr2!J25+UMYr3!J25+UMYr4!J25+UMYr5!J25</f>
        <v>0</v>
      </c>
      <c r="Q25" s="266">
        <f t="shared" si="6"/>
        <v>0</v>
      </c>
      <c r="U25" s="146"/>
      <c r="V25" s="146"/>
      <c r="W25" s="146"/>
      <c r="X25" s="146"/>
      <c r="Y25" s="146"/>
      <c r="Z25" s="146"/>
      <c r="AC25" s="198"/>
      <c r="AD25" s="198"/>
      <c r="AE25" s="198"/>
      <c r="AF25" s="198"/>
      <c r="AG25" s="198"/>
      <c r="AH25" s="198"/>
      <c r="AJ25" s="198"/>
    </row>
    <row r="26" spans="1:36" ht="12.95" customHeight="1">
      <c r="A26" s="5" t="str">
        <f>IF(UMYr2!A26&lt;&gt;"",UMYr2!A26,"")</f>
        <v/>
      </c>
      <c r="B26" s="817" t="s">
        <v>502</v>
      </c>
      <c r="C26" s="775"/>
      <c r="D26" s="26">
        <f>Sponsor!F26</f>
        <v>0</v>
      </c>
      <c r="E26" s="34">
        <f>SUM(E23:E25)</f>
        <v>0</v>
      </c>
      <c r="F26" s="34">
        <f>SUM(F23:F25)</f>
        <v>0</v>
      </c>
      <c r="G26" s="34">
        <f>SUM(G23:G25)</f>
        <v>0</v>
      </c>
      <c r="H26" s="34">
        <f>SUM(H23:H25)</f>
        <v>0</v>
      </c>
      <c r="I26" s="34">
        <f>SUM(I23:I25)</f>
        <v>0</v>
      </c>
      <c r="J26" s="31">
        <f t="shared" si="3"/>
        <v>0</v>
      </c>
      <c r="K26" s="32">
        <f t="shared" si="4"/>
        <v>0</v>
      </c>
      <c r="L26" s="34">
        <f>SUM(L23:L25)</f>
        <v>0</v>
      </c>
      <c r="M26" s="34">
        <f>SUM(M23:M25)</f>
        <v>0</v>
      </c>
      <c r="N26" s="26">
        <f t="shared" si="5"/>
        <v>0</v>
      </c>
      <c r="O26" s="263">
        <f>UMYr1!D26+UMYr2!D26+UMYr3!D26+UMYr4!D26+UMYr5!D26</f>
        <v>0</v>
      </c>
      <c r="P26" s="264">
        <f>UMYr1!J26+UMYr2!J26+UMYr3!J26+UMYr4!J26+UMYr5!J26</f>
        <v>0</v>
      </c>
      <c r="Q26" s="311">
        <f t="shared" si="6"/>
        <v>0</v>
      </c>
      <c r="U26" s="146"/>
      <c r="V26" s="146"/>
      <c r="W26" s="146"/>
      <c r="X26" s="146"/>
      <c r="Y26" s="146"/>
      <c r="Z26" s="146"/>
      <c r="AC26" s="198"/>
      <c r="AD26" s="198"/>
      <c r="AE26" s="198"/>
      <c r="AF26" s="198"/>
      <c r="AG26" s="198"/>
      <c r="AH26" s="198"/>
      <c r="AJ26" s="198"/>
    </row>
    <row r="27" spans="1:36" ht="12.95" customHeight="1">
      <c r="A27" s="5" t="str">
        <f>IF(UMYr2!A27&lt;&gt;"",UMYr2!A27,"")</f>
        <v/>
      </c>
      <c r="B27" s="210" t="str">
        <f>IF(UMYr1!B27="","",UMYr1!B27)</f>
        <v>CAPITAL EQUIPMENT OR CONSTRUCTION - descriptions and account codes must be entered in Sponsor tab</v>
      </c>
      <c r="C27" s="28"/>
      <c r="D27" s="28"/>
      <c r="E27" s="28"/>
      <c r="F27" s="28"/>
      <c r="G27" s="28"/>
      <c r="H27" s="28"/>
      <c r="I27" s="28"/>
      <c r="J27" s="28"/>
      <c r="K27" s="28"/>
      <c r="L27" s="28"/>
      <c r="M27" s="28"/>
      <c r="N27" s="190"/>
      <c r="O27" s="1051"/>
      <c r="P27" s="1047"/>
      <c r="Q27" s="1028"/>
      <c r="U27" s="146"/>
      <c r="V27" s="146"/>
      <c r="W27" s="146"/>
      <c r="X27" s="146"/>
      <c r="Y27" s="146"/>
      <c r="Z27" s="146"/>
      <c r="AA27" s="146"/>
      <c r="AC27" s="198"/>
      <c r="AD27" s="198"/>
      <c r="AE27" s="198"/>
      <c r="AF27" s="198"/>
      <c r="AG27" s="198"/>
      <c r="AH27" s="198"/>
      <c r="AJ27" s="198"/>
    </row>
    <row r="28" spans="1:36" ht="12.95" customHeight="1">
      <c r="A28" s="679" t="str">
        <f>IF(UMYr2!A28&lt;&gt;"",UMYr2!A28,"")</f>
        <v/>
      </c>
      <c r="B28" s="150" t="str">
        <f>IF(UMYr2!B28&lt;&gt;"",UMYr2!B28,"")</f>
        <v/>
      </c>
      <c r="C28" s="680" t="str">
        <f>UMYr1!C28</f>
        <v/>
      </c>
      <c r="D28" s="107">
        <f>Sponsor!F28</f>
        <v>0</v>
      </c>
      <c r="E28" s="9"/>
      <c r="F28" s="9"/>
      <c r="G28" s="9"/>
      <c r="H28" s="9"/>
      <c r="I28" s="9"/>
      <c r="J28" s="40">
        <f>SUM(E28:I28)</f>
        <v>0</v>
      </c>
      <c r="K28" s="32">
        <f>D28+J28</f>
        <v>0</v>
      </c>
      <c r="L28" s="9"/>
      <c r="M28" s="9"/>
      <c r="N28" s="24">
        <f>SUM(K28:M28)</f>
        <v>0</v>
      </c>
      <c r="O28" s="263">
        <f>UMYr1!D28+UMYr2!D28+UMYr3!D28+UMYr4!D28+UMYr5!D28</f>
        <v>0</v>
      </c>
      <c r="P28" s="264">
        <f>UMYr1!J28+UMYr2!J28+UMYr3!J28+UMYr4!J28+UMYr5!J28</f>
        <v>0</v>
      </c>
      <c r="Q28" s="265">
        <f>O28+P28</f>
        <v>0</v>
      </c>
      <c r="AC28" s="198"/>
      <c r="AD28" s="198"/>
      <c r="AE28" s="198"/>
      <c r="AF28" s="198"/>
      <c r="AG28" s="198"/>
      <c r="AH28" s="198"/>
      <c r="AJ28" s="198"/>
    </row>
    <row r="29" spans="1:36" ht="12.95" customHeight="1">
      <c r="A29" s="679" t="str">
        <f>IF(UMYr2!A29&lt;&gt;"",UMYr2!A29,"")</f>
        <v/>
      </c>
      <c r="B29" s="150" t="str">
        <f>IF(UMYr2!B29&lt;&gt;"",UMYr2!B29,"")</f>
        <v/>
      </c>
      <c r="C29" s="680" t="str">
        <f>UMYr1!C29</f>
        <v/>
      </c>
      <c r="D29" s="108">
        <f>Sponsor!F29</f>
        <v>0</v>
      </c>
      <c r="E29" s="9"/>
      <c r="F29" s="9"/>
      <c r="G29" s="9"/>
      <c r="H29" s="9"/>
      <c r="I29" s="9"/>
      <c r="J29" s="23">
        <f>SUM(E29:I29)</f>
        <v>0</v>
      </c>
      <c r="K29" s="32">
        <f>D29+J29</f>
        <v>0</v>
      </c>
      <c r="L29" s="10"/>
      <c r="M29" s="9"/>
      <c r="N29" s="25">
        <f>SUM(K29:M29)</f>
        <v>0</v>
      </c>
      <c r="O29" s="263">
        <f>UMYr1!D29+UMYr2!D29+UMYr3!D29+UMYr4!D29+UMYr5!D29</f>
        <v>0</v>
      </c>
      <c r="P29" s="264">
        <f>UMYr1!J29+UMYr2!J29+UMYr3!J29+UMYr4!J29+UMYr5!J29</f>
        <v>0</v>
      </c>
      <c r="Q29" s="266">
        <f>O29+P29</f>
        <v>0</v>
      </c>
      <c r="AC29" s="198"/>
      <c r="AD29" s="198"/>
      <c r="AE29" s="198"/>
      <c r="AF29" s="198"/>
      <c r="AG29" s="198"/>
      <c r="AH29" s="198"/>
      <c r="AJ29" s="198"/>
    </row>
    <row r="30" spans="1:36" ht="12.95" customHeight="1">
      <c r="A30" s="679" t="str">
        <f>IF(UMYr2!A30&lt;&gt;"",UMYr2!A30,"")</f>
        <v>Below</v>
      </c>
      <c r="B30" s="879" t="s">
        <v>511</v>
      </c>
      <c r="C30" s="763"/>
      <c r="D30" s="25">
        <f>Sponsor!F30</f>
        <v>0</v>
      </c>
      <c r="E30" s="33">
        <f>E109</f>
        <v>0</v>
      </c>
      <c r="F30" s="23">
        <f>F109</f>
        <v>0</v>
      </c>
      <c r="G30" s="23">
        <f>G109</f>
        <v>0</v>
      </c>
      <c r="H30" s="23">
        <f>H109</f>
        <v>0</v>
      </c>
      <c r="I30" s="23">
        <f>I109</f>
        <v>0</v>
      </c>
      <c r="J30" s="11">
        <f>SUM(E30:I30)</f>
        <v>0</v>
      </c>
      <c r="K30" s="32">
        <f>D30+J30</f>
        <v>0</v>
      </c>
      <c r="L30" s="23">
        <f>L109</f>
        <v>0</v>
      </c>
      <c r="M30" s="23">
        <f>M109</f>
        <v>0</v>
      </c>
      <c r="N30" s="25">
        <f>SUM(K30:M30)</f>
        <v>0</v>
      </c>
      <c r="O30" s="263">
        <f>UMYr1!D30+UMYr2!D30+UMYr3!D30+UMYr4!D30+UMYr5!D30</f>
        <v>0</v>
      </c>
      <c r="P30" s="264">
        <f>UMYr1!J30+UMYr2!J30+UMYr3!J30+UMYr4!J30+UMYr5!J30</f>
        <v>0</v>
      </c>
      <c r="Q30" s="266">
        <f>O30+P30</f>
        <v>0</v>
      </c>
      <c r="AC30" s="198"/>
      <c r="AD30" s="198"/>
      <c r="AE30" s="198"/>
      <c r="AF30" s="198"/>
      <c r="AG30" s="198"/>
      <c r="AH30" s="198"/>
      <c r="AJ30" s="198"/>
    </row>
    <row r="31" spans="1:36" ht="12.95" customHeight="1">
      <c r="A31" s="5" t="str">
        <f>IF(UMYr2!A31&lt;&gt;"",UMYr2!A31,"")</f>
        <v/>
      </c>
      <c r="B31" s="805" t="s">
        <v>514</v>
      </c>
      <c r="C31" s="753"/>
      <c r="D31" s="26">
        <f>Sponsor!F31</f>
        <v>0</v>
      </c>
      <c r="E31" s="34">
        <f>SUM(E28:E30)</f>
        <v>0</v>
      </c>
      <c r="F31" s="34">
        <f>SUM(F28:F30)</f>
        <v>0</v>
      </c>
      <c r="G31" s="34">
        <f>SUM(G28:G30)</f>
        <v>0</v>
      </c>
      <c r="H31" s="34">
        <f>SUM(H28:H30)</f>
        <v>0</v>
      </c>
      <c r="I31" s="34">
        <f>SUM(I28:I30)</f>
        <v>0</v>
      </c>
      <c r="J31" s="31">
        <f>SUM(E31:I31)</f>
        <v>0</v>
      </c>
      <c r="K31" s="32">
        <f>D31+J31</f>
        <v>0</v>
      </c>
      <c r="L31" s="34">
        <f>SUM(L28:L30)</f>
        <v>0</v>
      </c>
      <c r="M31" s="34">
        <f>SUM(M28:M30)</f>
        <v>0</v>
      </c>
      <c r="N31" s="26">
        <f>SUM(K31:M31)</f>
        <v>0</v>
      </c>
      <c r="O31" s="263">
        <f>UMYr1!D31+UMYr2!D31+UMYr3!D31+UMYr4!D31+UMYr5!D31</f>
        <v>0</v>
      </c>
      <c r="P31" s="264">
        <f>UMYr1!J31+UMYr2!J31+UMYr3!J31+UMYr4!J31+UMYr5!J31</f>
        <v>0</v>
      </c>
      <c r="Q31" s="311">
        <f>O31+P31</f>
        <v>0</v>
      </c>
      <c r="AC31" s="198"/>
      <c r="AD31" s="198"/>
      <c r="AE31" s="198"/>
      <c r="AF31" s="198"/>
      <c r="AG31" s="198"/>
      <c r="AH31" s="198"/>
      <c r="AI31" s="235"/>
      <c r="AJ31" s="198"/>
    </row>
    <row r="32" spans="1:36" ht="12.95" customHeight="1">
      <c r="A32" s="5" t="str">
        <f>IF(UMYr2!A32&lt;&gt;"",UMYr2!A32,"")</f>
        <v/>
      </c>
      <c r="B32" s="14" t="str">
        <f>IF(UMYr1!B32="","",UMYr1!B32)</f>
        <v>TRAVEL - account codes must be entered in Sponsor tab</v>
      </c>
      <c r="C32" s="28"/>
      <c r="D32" s="28"/>
      <c r="E32" s="28"/>
      <c r="F32" s="28"/>
      <c r="G32" s="28"/>
      <c r="H32" s="28"/>
      <c r="I32" s="28"/>
      <c r="J32" s="28"/>
      <c r="K32" s="28"/>
      <c r="L32" s="28"/>
      <c r="M32" s="28"/>
      <c r="N32" s="190"/>
      <c r="O32" s="1051"/>
      <c r="P32" s="1047"/>
      <c r="Q32" s="1028"/>
      <c r="AC32" s="198"/>
      <c r="AD32" s="198"/>
      <c r="AE32" s="198"/>
      <c r="AF32" s="198"/>
      <c r="AG32" s="198"/>
      <c r="AH32" s="198"/>
      <c r="AI32" s="235"/>
      <c r="AJ32" s="198"/>
    </row>
    <row r="33" spans="1:36" ht="12.95" customHeight="1">
      <c r="A33" s="679">
        <f>IF(UMYr2!A33&lt;&gt;"",UMYr2!A33,"")</f>
        <v>61400</v>
      </c>
      <c r="B33" s="150" t="str">
        <f>IF(UMYr2!B33&lt;&gt;"",UMYr2!B33,"")</f>
        <v/>
      </c>
      <c r="C33" s="39" t="s">
        <v>518</v>
      </c>
      <c r="D33" s="105">
        <f>Sponsor!F33</f>
        <v>0</v>
      </c>
      <c r="E33" s="8"/>
      <c r="F33" s="8"/>
      <c r="G33" s="8"/>
      <c r="H33" s="8"/>
      <c r="I33" s="8"/>
      <c r="J33" s="31">
        <f>SUM(E33:I33)</f>
        <v>0</v>
      </c>
      <c r="K33" s="32">
        <f>D33+J33</f>
        <v>0</v>
      </c>
      <c r="L33" s="8"/>
      <c r="M33" s="8"/>
      <c r="N33" s="30">
        <f>SUM(K33:M33)</f>
        <v>0</v>
      </c>
      <c r="O33" s="263">
        <f>UMYr1!D33+UMYr2!D33+UMYr3!D33+UMYr4!D33+UMYr5!D33</f>
        <v>0</v>
      </c>
      <c r="P33" s="264">
        <f>UMYr1!J33+UMYr2!J33+UMYr3!J33+UMYr4!J33+UMYr5!J33</f>
        <v>0</v>
      </c>
      <c r="Q33" s="265">
        <f>O33+P33</f>
        <v>0</v>
      </c>
      <c r="AC33" s="198"/>
      <c r="AD33" s="198"/>
      <c r="AE33" s="198"/>
      <c r="AF33" s="198"/>
      <c r="AG33" s="198"/>
      <c r="AH33" s="198"/>
      <c r="AJ33" s="198"/>
    </row>
    <row r="34" spans="1:36" ht="12.95" customHeight="1">
      <c r="A34" s="679">
        <f>IF(UMYr2!A34&lt;&gt;"",UMYr2!A34,"")</f>
        <v>61500</v>
      </c>
      <c r="B34" s="150" t="str">
        <f>IF(UMYr2!B34&lt;&gt;"",UMYr2!B34,"")</f>
        <v/>
      </c>
      <c r="C34" s="27" t="s">
        <v>519</v>
      </c>
      <c r="D34" s="106">
        <f>Sponsor!F34</f>
        <v>0</v>
      </c>
      <c r="E34" s="8"/>
      <c r="F34" s="8"/>
      <c r="G34" s="8"/>
      <c r="H34" s="8"/>
      <c r="I34" s="8"/>
      <c r="J34" s="31">
        <f>SUM(E34:I34)</f>
        <v>0</v>
      </c>
      <c r="K34" s="32">
        <f>D34+J34</f>
        <v>0</v>
      </c>
      <c r="L34" s="8"/>
      <c r="M34" s="8"/>
      <c r="N34" s="32">
        <f>SUM(K34:M34)</f>
        <v>0</v>
      </c>
      <c r="O34" s="263">
        <f>UMYr1!D34+UMYr2!D34+UMYr3!D34+UMYr4!D34+UMYr5!D34</f>
        <v>0</v>
      </c>
      <c r="P34" s="264">
        <f>UMYr1!J34+UMYr2!J34+UMYr3!J34+UMYr4!J34+UMYr5!J34</f>
        <v>0</v>
      </c>
      <c r="Q34" s="266">
        <f>O34+P34</f>
        <v>0</v>
      </c>
      <c r="AC34" s="198"/>
      <c r="AD34" s="198"/>
      <c r="AE34" s="198"/>
      <c r="AF34" s="198"/>
      <c r="AG34" s="198"/>
      <c r="AH34" s="198"/>
      <c r="AI34" s="235"/>
      <c r="AJ34" s="198"/>
    </row>
    <row r="35" spans="1:36" ht="12.95" customHeight="1">
      <c r="A35" s="679">
        <f>IF(UMYr2!A35&lt;&gt;"",UMYr2!A35,"")</f>
        <v>61600</v>
      </c>
      <c r="B35" s="150" t="str">
        <f>IF(UMYr2!B35&lt;&gt;"",UMYr2!B35,"")</f>
        <v/>
      </c>
      <c r="C35" s="27" t="s">
        <v>520</v>
      </c>
      <c r="D35" s="106">
        <f>Sponsor!F35</f>
        <v>0</v>
      </c>
      <c r="E35" s="8"/>
      <c r="F35" s="8"/>
      <c r="G35" s="8"/>
      <c r="H35" s="8"/>
      <c r="I35" s="8"/>
      <c r="J35" s="31">
        <f>SUM(E35:I35)</f>
        <v>0</v>
      </c>
      <c r="K35" s="32">
        <f>D35+J35</f>
        <v>0</v>
      </c>
      <c r="L35" s="8"/>
      <c r="M35" s="8"/>
      <c r="N35" s="32">
        <f>SUM(K35:M35)</f>
        <v>0</v>
      </c>
      <c r="O35" s="263">
        <f>UMYr1!D35+UMYr2!D35+UMYr3!D35+UMYr4!D35+UMYr5!D35</f>
        <v>0</v>
      </c>
      <c r="P35" s="264">
        <f>UMYr1!J35+UMYr2!J35+UMYr3!J35+UMYr4!J35+UMYr5!J35</f>
        <v>0</v>
      </c>
      <c r="Q35" s="266">
        <f>O35+P35</f>
        <v>0</v>
      </c>
      <c r="AC35" s="198"/>
      <c r="AD35" s="198"/>
      <c r="AE35" s="198"/>
      <c r="AF35" s="198"/>
      <c r="AG35" s="198"/>
      <c r="AH35" s="198"/>
      <c r="AJ35" s="198"/>
    </row>
    <row r="36" spans="1:36" ht="12.95" customHeight="1">
      <c r="A36" s="5" t="str">
        <f>IF(UMYr2!A36&lt;&gt;"",UMYr2!A36,"")</f>
        <v/>
      </c>
      <c r="B36" s="805" t="s">
        <v>521</v>
      </c>
      <c r="C36" s="753"/>
      <c r="D36" s="41">
        <f>Sponsor!F36</f>
        <v>0</v>
      </c>
      <c r="E36" s="42">
        <f>SUM(E33:E35)</f>
        <v>0</v>
      </c>
      <c r="F36" s="42">
        <f>SUM(F33:F35)</f>
        <v>0</v>
      </c>
      <c r="G36" s="42">
        <f>SUM(G33:G35)</f>
        <v>0</v>
      </c>
      <c r="H36" s="42">
        <f>SUM(H33:H35)</f>
        <v>0</v>
      </c>
      <c r="I36" s="42">
        <f>SUM(I33:I35)</f>
        <v>0</v>
      </c>
      <c r="J36" s="31">
        <f>SUM(E36:I36)</f>
        <v>0</v>
      </c>
      <c r="K36" s="32">
        <f>D36+J36</f>
        <v>0</v>
      </c>
      <c r="L36" s="42">
        <f>SUM(L33:L35)</f>
        <v>0</v>
      </c>
      <c r="M36" s="42">
        <f>SUM(M33:M35)</f>
        <v>0</v>
      </c>
      <c r="N36" s="41">
        <f>SUM(K36:M36)</f>
        <v>0</v>
      </c>
      <c r="O36" s="263">
        <f>UMYr1!D36+UMYr2!D36+UMYr3!D36+UMYr4!D36+UMYr5!D36</f>
        <v>0</v>
      </c>
      <c r="P36" s="264">
        <f>UMYr1!J36+UMYr2!J36+UMYr3!J36+UMYr4!J36+UMYr5!J36</f>
        <v>0</v>
      </c>
      <c r="Q36" s="311">
        <f>O36+P36</f>
        <v>0</v>
      </c>
      <c r="AI36" s="235"/>
      <c r="AJ36" s="198"/>
    </row>
    <row r="37" spans="1:36" ht="12.95" customHeight="1">
      <c r="A37" s="5" t="str">
        <f>IF(UMYr2!A37&lt;&gt;"",UMYr2!A37,"")</f>
        <v/>
      </c>
      <c r="B37" s="14" t="str">
        <f>IF(UMYr1!B37="","",UMYr1!B37)</f>
        <v>PARTICIPANT SUPPORT COSTS - account codes must be entered in Sponsor tab</v>
      </c>
      <c r="C37" s="28"/>
      <c r="D37" s="28"/>
      <c r="E37" s="28"/>
      <c r="F37" s="28"/>
      <c r="G37" s="28"/>
      <c r="H37" s="28"/>
      <c r="I37" s="28"/>
      <c r="J37" s="28"/>
      <c r="K37" s="28"/>
      <c r="L37" s="28"/>
      <c r="M37" s="28"/>
      <c r="N37" s="190"/>
      <c r="O37" s="1051"/>
      <c r="P37" s="1047"/>
      <c r="Q37" s="1028"/>
      <c r="AC37" s="198"/>
      <c r="AD37" s="198"/>
      <c r="AE37" s="198"/>
      <c r="AF37" s="198"/>
      <c r="AG37" s="198"/>
      <c r="AH37" s="198"/>
      <c r="AI37" s="235"/>
      <c r="AJ37" s="198"/>
    </row>
    <row r="38" spans="1:36" ht="12.95" customHeight="1">
      <c r="A38" s="679">
        <f>IF(UMYr2!A38&lt;&gt;"",UMYr2!A38,"")</f>
        <v>60206</v>
      </c>
      <c r="B38" s="150" t="str">
        <f>IF(UMYr2!B38&lt;&gt;"",UMYr2!B38,"")</f>
        <v/>
      </c>
      <c r="C38" s="39" t="str">
        <f>UMYr1!C38</f>
        <v>Stipends</v>
      </c>
      <c r="D38" s="105">
        <f>Sponsor!F38</f>
        <v>0</v>
      </c>
      <c r="E38" s="8"/>
      <c r="F38" s="8"/>
      <c r="G38" s="8"/>
      <c r="H38" s="8"/>
      <c r="I38" s="8"/>
      <c r="J38" s="31">
        <f>SUM(E38:I38)</f>
        <v>0</v>
      </c>
      <c r="K38" s="32">
        <f>D38+J38</f>
        <v>0</v>
      </c>
      <c r="L38" s="8"/>
      <c r="M38" s="8"/>
      <c r="N38" s="30">
        <f>SUM(K38:M38)</f>
        <v>0</v>
      </c>
      <c r="O38" s="263">
        <f>UMYr1!D38+UMYr2!D38+UMYr3!D38+UMYr4!D38+UMYr5!D38</f>
        <v>0</v>
      </c>
      <c r="P38" s="264">
        <f>UMYr1!J38+UMYr2!J38+UMYr3!J38+UMYr4!J38+UMYr5!J38</f>
        <v>0</v>
      </c>
      <c r="Q38" s="265">
        <f>O38+P38</f>
        <v>0</v>
      </c>
      <c r="AC38" s="198"/>
      <c r="AD38" s="198"/>
      <c r="AE38" s="198"/>
      <c r="AF38" s="198"/>
      <c r="AG38" s="198"/>
      <c r="AH38" s="198"/>
      <c r="AJ38" s="198"/>
    </row>
    <row r="39" spans="1:36" ht="12.95" customHeight="1">
      <c r="A39" s="679">
        <f>IF(UMYr2!A39&lt;&gt;"",UMYr2!A39,"")</f>
        <v>60204</v>
      </c>
      <c r="B39" s="150" t="str">
        <f>IF(UMYr2!B39&lt;&gt;"",UMYr2!B39,"")</f>
        <v/>
      </c>
      <c r="C39" s="27" t="str">
        <f>UMYr1!C39</f>
        <v>Travel (out of state)</v>
      </c>
      <c r="D39" s="106">
        <f>Sponsor!F39</f>
        <v>0</v>
      </c>
      <c r="E39" s="8"/>
      <c r="F39" s="8"/>
      <c r="G39" s="8"/>
      <c r="H39" s="8"/>
      <c r="I39" s="8"/>
      <c r="J39" s="31">
        <f>SUM(E39:I39)</f>
        <v>0</v>
      </c>
      <c r="K39" s="32">
        <f>D39+J39</f>
        <v>0</v>
      </c>
      <c r="L39" s="8"/>
      <c r="M39" s="8"/>
      <c r="N39" s="32">
        <f>SUM(K39:M39)</f>
        <v>0</v>
      </c>
      <c r="O39" s="263">
        <f>UMYr1!D39+UMYr2!D39+UMYr3!D39+UMYr4!D39+UMYr5!D39</f>
        <v>0</v>
      </c>
      <c r="P39" s="264">
        <f>UMYr1!J39+UMYr2!J39+UMYr3!J39+UMYr4!J39+UMYr5!J39</f>
        <v>0</v>
      </c>
      <c r="Q39" s="266">
        <f>O39+P39</f>
        <v>0</v>
      </c>
      <c r="AC39" s="198"/>
      <c r="AD39" s="198"/>
      <c r="AE39" s="198"/>
      <c r="AF39" s="198"/>
      <c r="AG39" s="198"/>
      <c r="AH39" s="198"/>
      <c r="AJ39" s="198"/>
    </row>
    <row r="40" spans="1:36" ht="12.95" customHeight="1">
      <c r="A40" s="679">
        <f>IF(UMYr2!A40&lt;&gt;"",UMYr2!A40,"")</f>
        <v>60201</v>
      </c>
      <c r="B40" s="150" t="str">
        <f>IF(UMYr2!B40&lt;&gt;"",UMYr2!B40,"")</f>
        <v/>
      </c>
      <c r="C40" s="27" t="str">
        <f>UMYr1!C40</f>
        <v>Subsistence</v>
      </c>
      <c r="D40" s="106">
        <f>Sponsor!F40</f>
        <v>0</v>
      </c>
      <c r="E40" s="8"/>
      <c r="F40" s="8"/>
      <c r="G40" s="8"/>
      <c r="H40" s="8"/>
      <c r="I40" s="8"/>
      <c r="J40" s="31">
        <f>SUM(E40:I40)</f>
        <v>0</v>
      </c>
      <c r="K40" s="32">
        <f>D40+J40</f>
        <v>0</v>
      </c>
      <c r="L40" s="8"/>
      <c r="M40" s="8"/>
      <c r="N40" s="32">
        <f>SUM(K40:M40)</f>
        <v>0</v>
      </c>
      <c r="O40" s="263">
        <f>UMYr1!D40+UMYr2!D40+UMYr3!D40+UMYr4!D40+UMYr5!D40</f>
        <v>0</v>
      </c>
      <c r="P40" s="264">
        <f>UMYr1!J40+UMYr2!J40+UMYr3!J40+UMYr4!J40+UMYr5!J40</f>
        <v>0</v>
      </c>
      <c r="Q40" s="266">
        <f>O40+P40</f>
        <v>0</v>
      </c>
      <c r="AC40" s="198"/>
      <c r="AD40" s="198"/>
      <c r="AE40" s="198"/>
      <c r="AF40" s="198"/>
      <c r="AG40" s="198"/>
      <c r="AH40" s="198"/>
      <c r="AJ40" s="198"/>
    </row>
    <row r="41" spans="1:36" ht="12.95" customHeight="1">
      <c r="A41" s="679">
        <f>IF(UMYr2!A41&lt;&gt;"",UMYr2!A41,"")</f>
        <v>60200</v>
      </c>
      <c r="B41" s="150" t="str">
        <f>IF(UMYr2!B41&lt;&gt;"",UMYr2!B41,"")</f>
        <v/>
      </c>
      <c r="C41" s="27" t="str">
        <f>UMYr1!C41</f>
        <v>Other</v>
      </c>
      <c r="D41" s="106">
        <f>Sponsor!F41</f>
        <v>0</v>
      </c>
      <c r="E41" s="8"/>
      <c r="F41" s="8"/>
      <c r="G41" s="8"/>
      <c r="H41" s="8"/>
      <c r="I41" s="8"/>
      <c r="J41" s="31">
        <f>SUM(E41:I41)</f>
        <v>0</v>
      </c>
      <c r="K41" s="32">
        <f>D41+J41</f>
        <v>0</v>
      </c>
      <c r="L41" s="8"/>
      <c r="M41" s="8"/>
      <c r="N41" s="32">
        <f>SUM(K41:M41)</f>
        <v>0</v>
      </c>
      <c r="O41" s="263">
        <f>UMYr1!D41+UMYr2!D41+UMYr3!D41+UMYr4!D41+UMYr5!D41</f>
        <v>0</v>
      </c>
      <c r="P41" s="264">
        <f>UMYr1!J41+UMYr2!J41+UMYr3!J41+UMYr4!J41+UMYr5!J41</f>
        <v>0</v>
      </c>
      <c r="Q41" s="266">
        <f>O41+P41</f>
        <v>0</v>
      </c>
      <c r="AC41" s="198"/>
      <c r="AD41" s="198"/>
      <c r="AE41" s="198"/>
      <c r="AF41" s="198"/>
      <c r="AG41" s="198"/>
      <c r="AH41" s="198"/>
      <c r="AJ41" s="198"/>
    </row>
    <row r="42" spans="1:36" ht="12.95" customHeight="1">
      <c r="A42" s="5" t="str">
        <f>IF(UMYr2!A42&lt;&gt;"",UMYr2!A42,"")</f>
        <v/>
      </c>
      <c r="B42" s="805" t="s">
        <v>527</v>
      </c>
      <c r="C42" s="753"/>
      <c r="D42" s="26">
        <f>Sponsor!F42</f>
        <v>0</v>
      </c>
      <c r="E42" s="34">
        <f>SUM(E38:E41)</f>
        <v>0</v>
      </c>
      <c r="F42" s="34">
        <f>SUM(F38:F41)</f>
        <v>0</v>
      </c>
      <c r="G42" s="34">
        <f>SUM(G38:G41)</f>
        <v>0</v>
      </c>
      <c r="H42" s="34">
        <f>SUM(H38:H41)</f>
        <v>0</v>
      </c>
      <c r="I42" s="34">
        <f>SUM(I38:I41)</f>
        <v>0</v>
      </c>
      <c r="J42" s="31">
        <f>SUM(E42:I42)</f>
        <v>0</v>
      </c>
      <c r="K42" s="32">
        <f>D42+J42</f>
        <v>0</v>
      </c>
      <c r="L42" s="34">
        <f>SUM(L38:L41)</f>
        <v>0</v>
      </c>
      <c r="M42" s="34">
        <f>SUM(M38:M41)</f>
        <v>0</v>
      </c>
      <c r="N42" s="26">
        <f>SUM(K42:M42)</f>
        <v>0</v>
      </c>
      <c r="O42" s="263">
        <f>UMYr1!D42+UMYr2!D42+UMYr3!D42+UMYr4!D42+UMYr5!D42</f>
        <v>0</v>
      </c>
      <c r="P42" s="264">
        <f>UMYr1!J42+UMYr2!J42+UMYr3!J42+UMYr4!J42+UMYr5!J42</f>
        <v>0</v>
      </c>
      <c r="Q42" s="311">
        <f>O42+P42</f>
        <v>0</v>
      </c>
      <c r="AC42" s="198"/>
      <c r="AD42" s="198"/>
      <c r="AE42" s="198"/>
      <c r="AF42" s="198"/>
      <c r="AG42" s="198"/>
      <c r="AH42" s="198"/>
      <c r="AI42" s="235"/>
      <c r="AJ42" s="198"/>
    </row>
    <row r="43" spans="1:36" ht="12.95" customHeight="1">
      <c r="A43" s="5" t="str">
        <f>IF(UMYr2!A43&lt;&gt;"",UMYr2!A43,"")</f>
        <v/>
      </c>
      <c r="B43" s="14" t="str">
        <f>IF(UMYr1!B43="","",UMYr1!B43)</f>
        <v>OTHER DIRECT COSTS - account codes must be entered in Sponsor tab</v>
      </c>
      <c r="C43" s="28"/>
      <c r="D43" s="28"/>
      <c r="E43" s="28"/>
      <c r="F43" s="28"/>
      <c r="G43" s="28"/>
      <c r="H43" s="28"/>
      <c r="I43" s="28"/>
      <c r="J43" s="28"/>
      <c r="K43" s="28"/>
      <c r="L43" s="28"/>
      <c r="M43" s="28"/>
      <c r="N43" s="190"/>
      <c r="O43" s="1051"/>
      <c r="P43" s="1047"/>
      <c r="Q43" s="1028"/>
      <c r="AJ43" s="198"/>
    </row>
    <row r="44" spans="1:36" ht="12.95" customHeight="1">
      <c r="A44" s="679">
        <f>IF(UMYr2!A44&lt;&gt;"",UMYr2!A44,"")</f>
        <v>61000</v>
      </c>
      <c r="B44" s="150" t="str">
        <f>IF(UMYr2!B44&lt;&gt;"",UMYr2!B44,"")</f>
        <v/>
      </c>
      <c r="C44" s="39" t="str">
        <f>UMYr1!C44</f>
        <v>Materials &amp; Supplies</v>
      </c>
      <c r="D44" s="105">
        <f>Sponsor!F44</f>
        <v>0</v>
      </c>
      <c r="E44" s="8"/>
      <c r="F44" s="8"/>
      <c r="G44" s="8"/>
      <c r="H44" s="8"/>
      <c r="I44" s="8"/>
      <c r="J44" s="31">
        <f t="shared" ref="J44:J54" si="8">SUM(E44:I44)</f>
        <v>0</v>
      </c>
      <c r="K44" s="32">
        <f>D44+J44</f>
        <v>0</v>
      </c>
      <c r="L44" s="8"/>
      <c r="M44" s="8"/>
      <c r="N44" s="30">
        <f t="shared" ref="N44:N62" si="9">SUM(K44:M44)</f>
        <v>0</v>
      </c>
      <c r="O44" s="263">
        <f>UMYr1!D44+UMYr2!D44+UMYr3!D44+UMYr4!D44+UMYr5!D44</f>
        <v>0</v>
      </c>
      <c r="P44" s="264">
        <f>UMYr1!J44+UMYr2!J44+UMYr3!J44+UMYr4!J44+UMYr5!J44</f>
        <v>0</v>
      </c>
      <c r="Q44" s="265">
        <f t="shared" ref="Q44:Q53" si="10">O44+P44</f>
        <v>0</v>
      </c>
      <c r="AJ44" s="198"/>
    </row>
    <row r="45" spans="1:36" ht="12.95" customHeight="1">
      <c r="A45" s="679">
        <f>IF(UMYr2!A45&lt;&gt;"",UMYr2!A45,"")</f>
        <v>60002</v>
      </c>
      <c r="B45" s="150" t="str">
        <f>IF(UMYr2!B45&lt;&gt;"",UMYr2!B45,"")</f>
        <v/>
      </c>
      <c r="C45" s="27" t="str">
        <f>UMYr1!C45</f>
        <v>Consultant Services</v>
      </c>
      <c r="D45" s="106">
        <f>Sponsor!F45</f>
        <v>0</v>
      </c>
      <c r="E45" s="8"/>
      <c r="F45" s="8"/>
      <c r="G45" s="8"/>
      <c r="H45" s="8"/>
      <c r="I45" s="8"/>
      <c r="J45" s="31">
        <f t="shared" si="8"/>
        <v>0</v>
      </c>
      <c r="K45" s="32">
        <f>D45+J45</f>
        <v>0</v>
      </c>
      <c r="L45" s="8"/>
      <c r="M45" s="8"/>
      <c r="N45" s="32">
        <f t="shared" si="9"/>
        <v>0</v>
      </c>
      <c r="O45" s="263">
        <f>UMYr1!D45+UMYr2!D45+UMYr3!D45+UMYr4!D45+UMYr5!D45</f>
        <v>0</v>
      </c>
      <c r="P45" s="264">
        <f>UMYr1!J45+UMYr2!J45+UMYr3!J45+UMYr4!J45+UMYr5!J45</f>
        <v>0</v>
      </c>
      <c r="Q45" s="266">
        <f t="shared" si="10"/>
        <v>0</v>
      </c>
      <c r="AC45" s="198"/>
      <c r="AD45" s="198"/>
      <c r="AE45" s="198"/>
      <c r="AF45" s="198"/>
      <c r="AG45" s="198"/>
      <c r="AH45" s="198"/>
      <c r="AI45" s="235"/>
      <c r="AJ45" s="198"/>
    </row>
    <row r="46" spans="1:36" ht="12.95" customHeight="1">
      <c r="A46" s="679">
        <f>IF(UMYr2!A46&lt;&gt;"",UMYr2!A46,"")</f>
        <v>60100</v>
      </c>
      <c r="B46" s="150" t="str">
        <f>IF(UMYr2!B46&lt;&gt;"",UMYr2!B46,"")</f>
        <v/>
      </c>
      <c r="C46" s="27" t="str">
        <f>UMYr1!C46</f>
        <v>Professional Services</v>
      </c>
      <c r="D46" s="106">
        <f>Sponsor!F46</f>
        <v>0</v>
      </c>
      <c r="E46" s="8"/>
      <c r="F46" s="8"/>
      <c r="G46" s="8"/>
      <c r="H46" s="8"/>
      <c r="I46" s="8"/>
      <c r="J46" s="31">
        <f t="shared" si="8"/>
        <v>0</v>
      </c>
      <c r="K46" s="32">
        <f>D46+J46</f>
        <v>0</v>
      </c>
      <c r="L46" s="8"/>
      <c r="M46" s="8"/>
      <c r="N46" s="32">
        <f t="shared" si="9"/>
        <v>0</v>
      </c>
      <c r="O46" s="263">
        <f>UMYr1!D46+UMYr2!D46+UMYr3!D46+UMYr4!D46+UMYr5!D46</f>
        <v>0</v>
      </c>
      <c r="P46" s="264">
        <f>UMYr1!J46+UMYr2!J46+UMYr3!J46+UMYr4!J46+UMYr5!J46</f>
        <v>0</v>
      </c>
      <c r="Q46" s="266">
        <f t="shared" si="10"/>
        <v>0</v>
      </c>
      <c r="AC46" s="198"/>
      <c r="AD46" s="198"/>
      <c r="AE46" s="198"/>
      <c r="AF46" s="198"/>
      <c r="AG46" s="198"/>
      <c r="AH46" s="198"/>
      <c r="AJ46" s="198"/>
    </row>
    <row r="47" spans="1:36" ht="12.95" customHeight="1">
      <c r="A47" s="679">
        <f>IF(UMYr2!A47&lt;&gt;"",UMYr2!A47,"")</f>
        <v>62000</v>
      </c>
      <c r="B47" s="150" t="str">
        <f>IF(UMYr2!B47&lt;&gt;"",UMYr2!B47,"")</f>
        <v/>
      </c>
      <c r="C47" s="27" t="str">
        <f>UMYr1!C47</f>
        <v>Non-Capital Equipment</v>
      </c>
      <c r="D47" s="106">
        <f>Sponsor!F47</f>
        <v>0</v>
      </c>
      <c r="E47" s="8"/>
      <c r="F47" s="8"/>
      <c r="G47" s="8"/>
      <c r="H47" s="8"/>
      <c r="I47" s="8"/>
      <c r="J47" s="31">
        <f t="shared" si="8"/>
        <v>0</v>
      </c>
      <c r="K47" s="32">
        <f>D47+J47</f>
        <v>0</v>
      </c>
      <c r="L47" s="8"/>
      <c r="M47" s="8"/>
      <c r="N47" s="32">
        <f t="shared" si="9"/>
        <v>0</v>
      </c>
      <c r="O47" s="263">
        <f>UMYr1!D47+UMYr2!D47+UMYr3!D47+UMYr4!D47+UMYr5!D47</f>
        <v>0</v>
      </c>
      <c r="P47" s="264">
        <f>UMYr1!J47+UMYr2!J47+UMYr3!J47+UMYr4!J47+UMYr5!J47</f>
        <v>0</v>
      </c>
      <c r="Q47" s="266">
        <f t="shared" si="10"/>
        <v>0</v>
      </c>
      <c r="AC47" s="198"/>
      <c r="AD47" s="198"/>
      <c r="AE47" s="198"/>
      <c r="AF47" s="198"/>
      <c r="AG47" s="198"/>
      <c r="AH47" s="198"/>
      <c r="AJ47" s="198"/>
    </row>
    <row r="48" spans="1:36" ht="12.95" customHeight="1">
      <c r="A48" s="679" t="str">
        <f>IF(UMYr2!A48&lt;&gt;"",UMYr2!A48,"")</f>
        <v/>
      </c>
      <c r="B48" s="150" t="str">
        <f>IF(UMYr2!B48&lt;&gt;"",UMYr2!B48,"")</f>
        <v/>
      </c>
      <c r="C48" s="27" t="str">
        <f>UMYr1!C48</f>
        <v>Subrecipients (enter below)</v>
      </c>
      <c r="D48" s="108">
        <f>Sponsor!F48</f>
        <v>0</v>
      </c>
      <c r="E48" s="123">
        <f>E183</f>
        <v>0</v>
      </c>
      <c r="F48" s="129">
        <f>F183</f>
        <v>0</v>
      </c>
      <c r="G48" s="129">
        <f>G183</f>
        <v>0</v>
      </c>
      <c r="H48" s="129">
        <f>H183</f>
        <v>0</v>
      </c>
      <c r="I48" s="129">
        <f>I183</f>
        <v>0</v>
      </c>
      <c r="J48" s="43">
        <f t="shared" si="8"/>
        <v>0</v>
      </c>
      <c r="K48" s="32">
        <f>D48</f>
        <v>0</v>
      </c>
      <c r="L48" s="23">
        <f>L183</f>
        <v>0</v>
      </c>
      <c r="M48" s="23">
        <f>M183</f>
        <v>0</v>
      </c>
      <c r="N48" s="25">
        <f t="shared" si="9"/>
        <v>0</v>
      </c>
      <c r="O48" s="263">
        <f>UMYr1!D48+UMYr2!D48+UMYr3!D48+UMYr4!D48+UMYr5!D48</f>
        <v>0</v>
      </c>
      <c r="P48" s="268">
        <f>UMYr1!J48+UMYr2!J48+UMYr3!J48+UMYr4!J48+UMYr5!J48</f>
        <v>0</v>
      </c>
      <c r="Q48" s="266">
        <f t="shared" si="10"/>
        <v>0</v>
      </c>
      <c r="AC48" s="198"/>
      <c r="AD48" s="198"/>
      <c r="AE48" s="198"/>
      <c r="AF48" s="198"/>
      <c r="AG48" s="198"/>
      <c r="AH48" s="198"/>
      <c r="AJ48" s="198"/>
    </row>
    <row r="49" spans="1:36" ht="12.95" customHeight="1">
      <c r="A49" s="679">
        <f>IF(UMYr2!A49&lt;&gt;"",UMYr2!A49,"")</f>
        <v>55300</v>
      </c>
      <c r="B49" s="150" t="str">
        <f>IF(UMYr2!B49&lt;&gt;"",UMYr2!B49,"")</f>
        <v/>
      </c>
      <c r="C49" s="27" t="str">
        <f>UMYr1!C49</f>
        <v>Tuition</v>
      </c>
      <c r="D49" s="106">
        <f>Sponsor!F49</f>
        <v>0</v>
      </c>
      <c r="E49" s="8"/>
      <c r="F49" s="8"/>
      <c r="G49" s="8"/>
      <c r="H49" s="8"/>
      <c r="I49" s="8"/>
      <c r="J49" s="31">
        <f t="shared" si="8"/>
        <v>0</v>
      </c>
      <c r="K49" s="32">
        <f>D49+J49</f>
        <v>0</v>
      </c>
      <c r="L49" s="8"/>
      <c r="M49" s="8"/>
      <c r="N49" s="32">
        <f t="shared" si="9"/>
        <v>0</v>
      </c>
      <c r="O49" s="263">
        <f>UMYr1!D49+UMYr2!D49+UMYr3!D49+UMYr4!D49+UMYr5!D49</f>
        <v>0</v>
      </c>
      <c r="P49" s="264">
        <f>UMYr1!J49+UMYr2!J49+UMYr3!J49+UMYr4!J49+UMYr5!J49</f>
        <v>0</v>
      </c>
      <c r="Q49" s="266">
        <f t="shared" si="10"/>
        <v>0</v>
      </c>
      <c r="AC49" s="198"/>
      <c r="AD49" s="198"/>
      <c r="AE49" s="198"/>
      <c r="AF49" s="198"/>
      <c r="AG49" s="198"/>
      <c r="AH49" s="198"/>
      <c r="AJ49" s="198"/>
    </row>
    <row r="50" spans="1:36" ht="12.95" customHeight="1">
      <c r="A50" s="679">
        <f>IF(UMYr2!A50&lt;&gt;"",UMYr2!A50,"")</f>
        <v>54113</v>
      </c>
      <c r="B50" s="150" t="str">
        <f>IF(UMYr2!B50&lt;&gt;"",UMYr2!B50,"")</f>
        <v/>
      </c>
      <c r="C50" s="27" t="str">
        <f>UMYr1!C50</f>
        <v>Grad Student Health Insurance</v>
      </c>
      <c r="D50" s="106">
        <f>Sponsor!F50</f>
        <v>0</v>
      </c>
      <c r="E50" s="8"/>
      <c r="F50" s="8"/>
      <c r="G50" s="8"/>
      <c r="H50" s="8"/>
      <c r="I50" s="8"/>
      <c r="J50" s="31">
        <f t="shared" si="8"/>
        <v>0</v>
      </c>
      <c r="K50" s="32">
        <f>D50+J50</f>
        <v>0</v>
      </c>
      <c r="L50" s="8"/>
      <c r="M50" s="8"/>
      <c r="N50" s="32">
        <f>SUM(K50:M50)</f>
        <v>0</v>
      </c>
      <c r="O50" s="263">
        <f>UMYr1!D50+UMYr2!D50+UMYr3!D50+UMYr4!D50+UMYr5!D50</f>
        <v>0</v>
      </c>
      <c r="P50" s="264">
        <f>UMYr1!J50+UMYr2!J50+UMYr3!J50+UMYr4!J50+UMYr5!J50</f>
        <v>0</v>
      </c>
      <c r="Q50" s="266">
        <f t="shared" si="10"/>
        <v>0</v>
      </c>
      <c r="AC50" s="198"/>
      <c r="AD50" s="198"/>
      <c r="AE50" s="198"/>
      <c r="AF50" s="198"/>
      <c r="AG50" s="198"/>
      <c r="AH50" s="198"/>
      <c r="AJ50" s="198"/>
    </row>
    <row r="51" spans="1:36" ht="12.95" customHeight="1">
      <c r="A51" s="679" t="str">
        <f>IF(UMYr2!A51&lt;&gt;"",UMYr2!A51,"")</f>
        <v>Below</v>
      </c>
      <c r="B51" s="151" t="str">
        <f>IF(UMYr2!B51&lt;&gt;"",UMYr2!B51,"")</f>
        <v/>
      </c>
      <c r="C51" s="27" t="s">
        <v>538</v>
      </c>
      <c r="D51" s="106">
        <f>Sponsor!F51</f>
        <v>0</v>
      </c>
      <c r="E51" s="31">
        <f>E120</f>
        <v>0</v>
      </c>
      <c r="F51" s="31">
        <f>F120</f>
        <v>0</v>
      </c>
      <c r="G51" s="31">
        <f>G120</f>
        <v>0</v>
      </c>
      <c r="H51" s="31">
        <f>H120</f>
        <v>0</v>
      </c>
      <c r="I51" s="31">
        <f>I120</f>
        <v>0</v>
      </c>
      <c r="J51" s="31">
        <f t="shared" si="8"/>
        <v>0</v>
      </c>
      <c r="K51" s="32">
        <f>D51+J51</f>
        <v>0</v>
      </c>
      <c r="L51" s="31">
        <f>L120</f>
        <v>0</v>
      </c>
      <c r="M51" s="31">
        <f>M120</f>
        <v>0</v>
      </c>
      <c r="N51" s="32">
        <f t="shared" si="9"/>
        <v>0</v>
      </c>
      <c r="O51" s="263">
        <f>UMYr1!D51+UMYr2!D51+UMYr3!D51+UMYr4!D51+UMYr5!D51</f>
        <v>0</v>
      </c>
      <c r="P51" s="264">
        <f>UMYr1!J51+UMYr2!J51+UMYr3!J51+UMYr4!J51+UMYr5!J51</f>
        <v>0</v>
      </c>
      <c r="Q51" s="266">
        <f t="shared" si="10"/>
        <v>0</v>
      </c>
      <c r="AC51" s="198"/>
      <c r="AD51" s="198"/>
      <c r="AE51" s="198"/>
      <c r="AF51" s="198"/>
      <c r="AG51" s="198"/>
      <c r="AH51" s="198"/>
      <c r="AJ51" s="198"/>
    </row>
    <row r="52" spans="1:36" ht="12.95" customHeight="1" thickBot="1">
      <c r="A52" s="5" t="str">
        <f>IF(UMYr2!A52&lt;&gt;"",UMYr2!A52,"")</f>
        <v/>
      </c>
      <c r="B52" s="810" t="s">
        <v>540</v>
      </c>
      <c r="C52" s="811"/>
      <c r="D52" s="44">
        <f>Sponsor!F52</f>
        <v>0</v>
      </c>
      <c r="E52" s="269">
        <f>SUM(E44:E51)</f>
        <v>0</v>
      </c>
      <c r="F52" s="269">
        <f>SUM(F44:F51)</f>
        <v>0</v>
      </c>
      <c r="G52" s="269">
        <f>SUM(G44:G51)</f>
        <v>0</v>
      </c>
      <c r="H52" s="269">
        <f>SUM(H44:H51)</f>
        <v>0</v>
      </c>
      <c r="I52" s="269">
        <f>SUM(I44:I51)</f>
        <v>0</v>
      </c>
      <c r="J52" s="269">
        <f t="shared" si="8"/>
        <v>0</v>
      </c>
      <c r="K52" s="270">
        <f>D52+J52</f>
        <v>0</v>
      </c>
      <c r="L52" s="269">
        <f>SUM(L44:L51)</f>
        <v>0</v>
      </c>
      <c r="M52" s="269">
        <f>SUM(M44:M51)</f>
        <v>0</v>
      </c>
      <c r="N52" s="44">
        <f t="shared" si="9"/>
        <v>0</v>
      </c>
      <c r="O52" s="271">
        <f>UMYr1!D52+UMYr2!D52+UMYr3!D52+UMYr4!D52+UMYr5!D52</f>
        <v>0</v>
      </c>
      <c r="P52" s="272">
        <f>UMYr1!J52+UMYr2!J52+UMYr3!J52+UMYr4!J52+UMYr5!J52</f>
        <v>0</v>
      </c>
      <c r="Q52" s="266">
        <f t="shared" si="10"/>
        <v>0</v>
      </c>
      <c r="AC52" s="198"/>
      <c r="AD52" s="198"/>
      <c r="AE52" s="198"/>
      <c r="AF52" s="198"/>
      <c r="AG52" s="198"/>
      <c r="AH52" s="198"/>
      <c r="AJ52" s="198"/>
    </row>
    <row r="53" spans="1:36" ht="12.95" customHeight="1" thickTop="1">
      <c r="A53" s="5" t="str">
        <f>IF(UMYr2!A53&lt;&gt;"",UMYr2!A53,"")</f>
        <v/>
      </c>
      <c r="B53" s="1057" t="s">
        <v>656</v>
      </c>
      <c r="C53" s="1053"/>
      <c r="D53" s="45">
        <f>Sponsor!F53</f>
        <v>0</v>
      </c>
      <c r="E53" s="23">
        <f>E52+E42+E31+E26+E36</f>
        <v>0</v>
      </c>
      <c r="F53" s="23">
        <f>F52+F42+F31+F26+F36</f>
        <v>0</v>
      </c>
      <c r="G53" s="23">
        <f>G52+G42+G31+G26+G36</f>
        <v>0</v>
      </c>
      <c r="H53" s="23">
        <f>H52+H42+H31+H26+H36</f>
        <v>0</v>
      </c>
      <c r="I53" s="23">
        <f>I52+I42+I31+I26+I36</f>
        <v>0</v>
      </c>
      <c r="J53" s="31">
        <f t="shared" si="8"/>
        <v>0</v>
      </c>
      <c r="K53" s="32">
        <f>D53+J53</f>
        <v>0</v>
      </c>
      <c r="L53" s="23">
        <f>L52+L42+L35+L33+L31+L26+L34</f>
        <v>0</v>
      </c>
      <c r="M53" s="23">
        <f>M52+M42+M35+M33+M31+M26+M34</f>
        <v>0</v>
      </c>
      <c r="N53" s="25">
        <f t="shared" si="9"/>
        <v>0</v>
      </c>
      <c r="O53" s="273">
        <f>UMYr1!D53+UMYr2!D53+UMYr3!D53+UMYr4!D53+UMYr5!D53</f>
        <v>0</v>
      </c>
      <c r="P53" s="279">
        <f>UMYr1!J53+UMYr2!J53+UMYr3!J53+UMYr4!J53+UMYr5!J53</f>
        <v>0</v>
      </c>
      <c r="Q53" s="383">
        <f t="shared" si="10"/>
        <v>0</v>
      </c>
      <c r="AC53" s="198"/>
      <c r="AD53" s="198"/>
      <c r="AE53" s="198"/>
      <c r="AF53" s="198"/>
      <c r="AG53" s="198"/>
      <c r="AH53" s="198"/>
      <c r="AJ53" s="198"/>
    </row>
    <row r="54" spans="1:36" ht="12.95" customHeight="1">
      <c r="A54" s="328" t="str">
        <f>IF(UMYr2!A54&lt;&gt;"",UMYr2!A54,"")</f>
        <v/>
      </c>
      <c r="B54" s="689">
        <f>IF(UMYr2!B54&lt;&gt;"",UMYr2!B54,"")</f>
        <v>65711</v>
      </c>
      <c r="C54" s="46" t="str">
        <f>UMYr1!C54</f>
        <v>UM  F&amp;A on Direct Costs</v>
      </c>
      <c r="D54" s="868" t="s">
        <v>658</v>
      </c>
      <c r="E54" s="391">
        <f>ROUND(E84*E68,0)</f>
        <v>0</v>
      </c>
      <c r="F54" s="375">
        <f>ROUND(F84*F68,0)</f>
        <v>0</v>
      </c>
      <c r="G54" s="375">
        <f>ROUND(G84*G68,0)</f>
        <v>0</v>
      </c>
      <c r="H54" s="375">
        <f>ROUND(H84*H68,0)</f>
        <v>0</v>
      </c>
      <c r="I54" s="375">
        <f>ROUND(I84*I68,0)</f>
        <v>0</v>
      </c>
      <c r="J54" s="392">
        <f t="shared" si="8"/>
        <v>0</v>
      </c>
      <c r="K54" s="636">
        <f>J54</f>
        <v>0</v>
      </c>
      <c r="L54" s="892"/>
      <c r="M54" s="894"/>
      <c r="N54" s="636">
        <f t="shared" ref="N54:N59" si="11">K54</f>
        <v>0</v>
      </c>
      <c r="O54" s="876" t="s">
        <v>658</v>
      </c>
      <c r="P54" s="264">
        <f>UMYr1!J54+UMYr2!J54+UMYr3!J54+UMYr4!J54+UMYr5!J54</f>
        <v>0</v>
      </c>
      <c r="Q54" s="264">
        <f t="shared" ref="Q54:Q59" si="12">P54</f>
        <v>0</v>
      </c>
      <c r="AC54" s="198"/>
      <c r="AD54" s="198"/>
      <c r="AE54" s="198"/>
      <c r="AF54" s="198"/>
      <c r="AG54" s="198"/>
      <c r="AH54" s="198"/>
      <c r="AJ54" s="198"/>
    </row>
    <row r="55" spans="1:36" ht="12.95" customHeight="1">
      <c r="A55" s="5" t="str">
        <f>IF(UMYr2!A55&lt;&gt;"",UMYr2!A55,"")</f>
        <v/>
      </c>
      <c r="B55" s="689">
        <v>65712</v>
      </c>
      <c r="C55" s="134" t="str">
        <f>UMYr1!C55</f>
        <v>Above Sponsor Cap</v>
      </c>
      <c r="D55" s="937"/>
      <c r="E55" s="398">
        <f>Sponsor!F57</f>
        <v>0</v>
      </c>
      <c r="F55" s="888" t="s">
        <v>658</v>
      </c>
      <c r="G55" s="1050"/>
      <c r="H55" s="1050"/>
      <c r="I55" s="1050"/>
      <c r="J55" s="1037"/>
      <c r="K55" s="32">
        <f>E55</f>
        <v>0</v>
      </c>
      <c r="L55" s="625"/>
      <c r="M55" s="628"/>
      <c r="N55" s="32">
        <f t="shared" si="11"/>
        <v>0</v>
      </c>
      <c r="O55" s="1058"/>
      <c r="P55" s="263">
        <f>UMYr1!E55+UMYr2!E55+UMYr3!E55+UMYr4!E55+UMYr5!E55</f>
        <v>0</v>
      </c>
      <c r="Q55" s="388">
        <f t="shared" si="12"/>
        <v>0</v>
      </c>
    </row>
    <row r="56" spans="1:36" ht="12.95" customHeight="1">
      <c r="A56" s="5" t="str">
        <f>IF(UMYr2!A56&lt;&gt;"",UMYr2!A56,"")</f>
        <v/>
      </c>
      <c r="B56" s="689">
        <v>65713</v>
      </c>
      <c r="C56" s="134" t="str">
        <f>UMYr1!C56</f>
        <v>Required  Cost Sharing</v>
      </c>
      <c r="D56" s="937"/>
      <c r="E56" s="349">
        <f>Sponsor!F58</f>
        <v>0</v>
      </c>
      <c r="F56" s="1033"/>
      <c r="G56" s="1030"/>
      <c r="H56" s="1030"/>
      <c r="I56" s="1030"/>
      <c r="J56" s="1038"/>
      <c r="K56" s="32">
        <f>E56</f>
        <v>0</v>
      </c>
      <c r="L56" s="626"/>
      <c r="M56" s="620"/>
      <c r="N56" s="32">
        <f t="shared" si="11"/>
        <v>0</v>
      </c>
      <c r="O56" s="1058"/>
      <c r="P56" s="263">
        <f>UMYr1!E56+UMYr2!E56+UMYr3!E56+UMYr4!E56+UMYr5!E56</f>
        <v>0</v>
      </c>
      <c r="Q56" s="388">
        <f t="shared" si="12"/>
        <v>0</v>
      </c>
    </row>
    <row r="57" spans="1:36" ht="12.95" customHeight="1">
      <c r="A57" s="405"/>
      <c r="B57" s="689">
        <v>65714</v>
      </c>
      <c r="C57" s="134" t="str">
        <f>UMYr1!C57</f>
        <v xml:space="preserve">State Agreement </v>
      </c>
      <c r="D57" s="937"/>
      <c r="E57" s="349">
        <f>Sponsor!F59</f>
        <v>0</v>
      </c>
      <c r="F57" s="1033"/>
      <c r="G57" s="1030"/>
      <c r="H57" s="1030"/>
      <c r="I57" s="1030"/>
      <c r="J57" s="1038"/>
      <c r="K57" s="32">
        <f>E57</f>
        <v>0</v>
      </c>
      <c r="L57" s="626"/>
      <c r="M57" s="620"/>
      <c r="N57" s="32">
        <f t="shared" si="11"/>
        <v>0</v>
      </c>
      <c r="O57" s="1058"/>
      <c r="P57" s="263">
        <f>UMYr1!E57+UMYr2!E57+UMYr3!E57+UMYr4!E57+UMYr5!E57</f>
        <v>0</v>
      </c>
      <c r="Q57" s="388">
        <f t="shared" si="12"/>
        <v>0</v>
      </c>
    </row>
    <row r="58" spans="1:36" ht="12.95" customHeight="1">
      <c r="A58" s="405"/>
      <c r="B58" s="689">
        <v>65715</v>
      </c>
      <c r="C58" s="134" t="str">
        <f>UMYr1!C58</f>
        <v>Voluntary Cost Sharing</v>
      </c>
      <c r="D58" s="937"/>
      <c r="E58" s="349">
        <f>Sponsor!F60</f>
        <v>0</v>
      </c>
      <c r="F58" s="1033"/>
      <c r="G58" s="1030"/>
      <c r="H58" s="1030"/>
      <c r="I58" s="1030"/>
      <c r="J58" s="1038"/>
      <c r="K58" s="32">
        <f>E58</f>
        <v>0</v>
      </c>
      <c r="L58" s="626"/>
      <c r="M58" s="620"/>
      <c r="N58" s="32">
        <f t="shared" si="11"/>
        <v>0</v>
      </c>
      <c r="O58" s="1058"/>
      <c r="P58" s="263">
        <f>UMYr1!E58+UMYr2!E58+UMYr3!E58+UMYr4!E58+UMYr5!E58</f>
        <v>0</v>
      </c>
      <c r="Q58" s="388">
        <f t="shared" si="12"/>
        <v>0</v>
      </c>
    </row>
    <row r="59" spans="1:36" ht="12.95" customHeight="1">
      <c r="A59" s="405"/>
      <c r="C59" s="394" t="str">
        <f>UMYr1!C59</f>
        <v xml:space="preserve">Total  F&amp;A Waiver (FACS) </v>
      </c>
      <c r="D59" s="1059"/>
      <c r="E59" s="435">
        <f>SUM(E55:E58)</f>
        <v>0</v>
      </c>
      <c r="F59" s="1036"/>
      <c r="G59" s="1061"/>
      <c r="H59" s="1061"/>
      <c r="I59" s="1061"/>
      <c r="J59" s="1062"/>
      <c r="K59" s="32">
        <f>E59</f>
        <v>0</v>
      </c>
      <c r="L59" s="627"/>
      <c r="M59" s="623"/>
      <c r="N59" s="41">
        <f t="shared" si="11"/>
        <v>0</v>
      </c>
      <c r="O59" s="1059"/>
      <c r="P59" s="393">
        <f>UMYr1!E59+UMYr2!E59+UMYr3!E59+UMYr4!E59+UMYr5!E59</f>
        <v>0</v>
      </c>
      <c r="Q59" s="280">
        <f t="shared" si="12"/>
        <v>0</v>
      </c>
    </row>
    <row r="60" spans="1:36" ht="12.95" customHeight="1">
      <c r="A60" s="679">
        <f>IF(UMYr2!A60&lt;&gt;"",UMYr2!A60,"")</f>
        <v>65701</v>
      </c>
      <c r="B60" s="808" t="str">
        <f>UMYr1!B60</f>
        <v>Total F&amp;A Charged</v>
      </c>
      <c r="C60" s="967"/>
      <c r="D60" s="636">
        <f>Sponsor!F54</f>
        <v>0</v>
      </c>
      <c r="E60" s="349">
        <f>E54+E59</f>
        <v>0</v>
      </c>
      <c r="F60" s="384">
        <f>F54</f>
        <v>0</v>
      </c>
      <c r="G60" s="384">
        <f>G54</f>
        <v>0</v>
      </c>
      <c r="H60" s="384">
        <f>H54</f>
        <v>0</v>
      </c>
      <c r="I60" s="384">
        <f>I54</f>
        <v>0</v>
      </c>
      <c r="J60" s="348">
        <f>SUM(E60:I60)</f>
        <v>0</v>
      </c>
      <c r="K60" s="427">
        <f>D60+J60</f>
        <v>0</v>
      </c>
      <c r="L60" s="93">
        <f>ROUND(L84*L69,0)</f>
        <v>0</v>
      </c>
      <c r="M60" s="638">
        <f>ROUND(M84*M69,0)</f>
        <v>0</v>
      </c>
      <c r="N60" s="188">
        <f>D60+J60+L60</f>
        <v>0</v>
      </c>
      <c r="O60" s="400">
        <f>UMYr1!D60+UMYr2!D60+UMYr3!D60+UMYr4!D60+UMYr5!D59</f>
        <v>0</v>
      </c>
      <c r="P60" s="264">
        <f>UMYr1!J60+UMYr2!J60+UMYr3!J60+UMYr4!J60+UMYr5!J60</f>
        <v>0</v>
      </c>
      <c r="Q60" s="264">
        <f>O60+P60</f>
        <v>0</v>
      </c>
    </row>
    <row r="61" spans="1:36" ht="12.95" customHeight="1" thickBot="1">
      <c r="B61" s="390">
        <v>65719</v>
      </c>
      <c r="C61" s="135" t="str">
        <f>UMYr1!C61</f>
        <v xml:space="preserve">UM  F&amp;A Offset </v>
      </c>
      <c r="D61" s="137"/>
      <c r="E61" s="351">
        <f>-E60</f>
        <v>0</v>
      </c>
      <c r="F61" s="372">
        <f>-F54</f>
        <v>0</v>
      </c>
      <c r="G61" s="372">
        <f>-G54</f>
        <v>0</v>
      </c>
      <c r="H61" s="372">
        <f>-H54</f>
        <v>0</v>
      </c>
      <c r="I61" s="372">
        <f>-I54</f>
        <v>0</v>
      </c>
      <c r="J61" s="136">
        <f>SUM(E61:I61)</f>
        <v>0</v>
      </c>
      <c r="K61" s="106">
        <f>D61+J61</f>
        <v>0</v>
      </c>
      <c r="L61" s="409"/>
      <c r="M61" s="624"/>
      <c r="N61" s="108">
        <f t="shared" si="9"/>
        <v>0</v>
      </c>
      <c r="O61" s="263"/>
      <c r="P61" s="264">
        <f>UMYr1!J61+UMYr2!J61+UMYr3!J61+UMYr4!J61+UMYr5!J61</f>
        <v>0</v>
      </c>
      <c r="Q61" s="276">
        <f>O61+P61</f>
        <v>0</v>
      </c>
    </row>
    <row r="62" spans="1:36" ht="12.95" customHeight="1" thickTop="1">
      <c r="A62" s="5"/>
      <c r="B62" s="968" t="s">
        <v>544</v>
      </c>
      <c r="C62" s="942"/>
      <c r="D62" s="512">
        <f>Sponsor!F55</f>
        <v>0</v>
      </c>
      <c r="E62" s="511">
        <f t="shared" ref="E62:J62" si="13">E53+E60</f>
        <v>0</v>
      </c>
      <c r="F62" s="511">
        <f t="shared" si="13"/>
        <v>0</v>
      </c>
      <c r="G62" s="511">
        <f t="shared" si="13"/>
        <v>0</v>
      </c>
      <c r="H62" s="511">
        <f t="shared" si="13"/>
        <v>0</v>
      </c>
      <c r="I62" s="511">
        <f t="shared" si="13"/>
        <v>0</v>
      </c>
      <c r="J62" s="511">
        <f t="shared" si="13"/>
        <v>0</v>
      </c>
      <c r="K62" s="512">
        <f>D62+J62</f>
        <v>0</v>
      </c>
      <c r="L62" s="513">
        <f>SUM(L53:L60)</f>
        <v>0</v>
      </c>
      <c r="M62" s="511">
        <f>SUM(M53:M60)</f>
        <v>0</v>
      </c>
      <c r="N62" s="512">
        <f t="shared" si="9"/>
        <v>0</v>
      </c>
      <c r="O62" s="513">
        <f>UMYr1!D62+UMYr2!D62+UMYr3!D62+UMYr4!D62+UMYr5!D62</f>
        <v>0</v>
      </c>
      <c r="P62" s="514">
        <f>UMYr1!J62+UMYr2!J62+UMYr3!J62+UMYr4!J62+UMYr5!J62</f>
        <v>0</v>
      </c>
      <c r="Q62" s="510">
        <f>O62+P62</f>
        <v>0</v>
      </c>
    </row>
    <row r="63" spans="1:36" ht="12.95" customHeight="1">
      <c r="A63" s="5" t="str">
        <f>IF(UMYr2!A63&lt;&gt;"",UMYr2!A63,"")</f>
        <v/>
      </c>
      <c r="B63" s="909" t="s">
        <v>683</v>
      </c>
      <c r="C63" s="910"/>
      <c r="D63" s="673">
        <f>D62-D42</f>
        <v>0</v>
      </c>
      <c r="E63" s="521">
        <f t="shared" ref="E63:Q63" si="14">E62-E42</f>
        <v>0</v>
      </c>
      <c r="F63" s="521">
        <f t="shared" si="14"/>
        <v>0</v>
      </c>
      <c r="G63" s="521">
        <f t="shared" si="14"/>
        <v>0</v>
      </c>
      <c r="H63" s="521">
        <f t="shared" si="14"/>
        <v>0</v>
      </c>
      <c r="I63" s="521">
        <f t="shared" si="14"/>
        <v>0</v>
      </c>
      <c r="J63" s="521">
        <f t="shared" si="14"/>
        <v>0</v>
      </c>
      <c r="K63" s="673">
        <f t="shared" si="14"/>
        <v>0</v>
      </c>
      <c r="L63" s="521">
        <f t="shared" si="14"/>
        <v>0</v>
      </c>
      <c r="M63" s="521">
        <f t="shared" si="14"/>
        <v>0</v>
      </c>
      <c r="N63" s="673">
        <f t="shared" si="14"/>
        <v>0</v>
      </c>
      <c r="O63" s="521">
        <f t="shared" si="14"/>
        <v>0</v>
      </c>
      <c r="P63" s="521">
        <f t="shared" si="14"/>
        <v>0</v>
      </c>
      <c r="Q63" s="673">
        <f t="shared" si="14"/>
        <v>0</v>
      </c>
    </row>
    <row r="64" spans="1:36" ht="12.95" customHeight="1">
      <c r="A64" s="5" t="str">
        <f>IF(UMYr2!A64&lt;&gt;"",UMYr2!A64,"")</f>
        <v/>
      </c>
      <c r="B64" s="1060" t="s">
        <v>663</v>
      </c>
      <c r="C64" s="1061"/>
      <c r="D64" s="1061"/>
      <c r="E64" s="1061"/>
      <c r="F64" s="1061"/>
      <c r="G64" s="1061"/>
      <c r="H64" s="1061"/>
      <c r="I64" s="1061"/>
      <c r="J64" s="1061"/>
      <c r="K64" s="1061"/>
      <c r="L64" s="1061"/>
      <c r="M64" s="1061"/>
      <c r="N64" s="1062"/>
    </row>
    <row r="65" spans="1:26" ht="12.95" customHeight="1">
      <c r="A65" s="5" t="str">
        <f>IF(UMYr2!A65&lt;&gt;"",UMYr2!A65,"")</f>
        <v/>
      </c>
      <c r="B65" s="15" t="s">
        <v>556</v>
      </c>
      <c r="C65" s="28"/>
      <c r="D65" s="28"/>
      <c r="E65" s="28"/>
      <c r="F65" s="28"/>
      <c r="G65" s="28"/>
      <c r="H65" s="28"/>
      <c r="I65" s="28"/>
      <c r="J65" s="28"/>
      <c r="K65" s="28"/>
      <c r="L65" s="28"/>
      <c r="M65" s="28"/>
      <c r="N65" s="190"/>
      <c r="R65" s="221"/>
      <c r="S65" s="221"/>
    </row>
    <row r="66" spans="1:26" ht="12.95" customHeight="1">
      <c r="A66" s="5" t="str">
        <f>IF(UMYr2!A66&lt;&gt;"",UMYr2!A66,"")</f>
        <v/>
      </c>
      <c r="B66" s="771" t="s">
        <v>558</v>
      </c>
      <c r="C66" s="772"/>
      <c r="D66" s="120">
        <f>Sponsor!F67</f>
        <v>0.437</v>
      </c>
      <c r="E66" s="631">
        <f>D66</f>
        <v>0.437</v>
      </c>
      <c r="F66" s="631">
        <f>D66</f>
        <v>0.437</v>
      </c>
      <c r="G66" s="631">
        <f>D66</f>
        <v>0.437</v>
      </c>
      <c r="H66" s="631">
        <f>D66</f>
        <v>0.437</v>
      </c>
      <c r="I66" s="631">
        <f>D66</f>
        <v>0.437</v>
      </c>
      <c r="J66" s="49"/>
      <c r="K66" s="283"/>
      <c r="L66" s="49">
        <f>$D$66</f>
        <v>0.437</v>
      </c>
      <c r="M66" s="51">
        <f>$D$66</f>
        <v>0.437</v>
      </c>
      <c r="N66" s="284"/>
      <c r="O66" s="275"/>
      <c r="P66" s="285"/>
      <c r="R66" s="135"/>
    </row>
    <row r="67" spans="1:26" ht="12.95" customHeight="1">
      <c r="A67" s="5" t="str">
        <f>IF(UMYr2!A67&lt;&gt;"",UMYr2!A67,"")</f>
        <v/>
      </c>
      <c r="B67" s="818" t="s">
        <v>559</v>
      </c>
      <c r="C67" s="763"/>
      <c r="D67" s="121">
        <f>Sponsor!F68</f>
        <v>7.6999999999999999E-2</v>
      </c>
      <c r="E67" s="632">
        <f>D67</f>
        <v>7.6999999999999999E-2</v>
      </c>
      <c r="F67" s="53">
        <f>D67</f>
        <v>7.6999999999999999E-2</v>
      </c>
      <c r="G67" s="53">
        <f>D67</f>
        <v>7.6999999999999999E-2</v>
      </c>
      <c r="H67" s="53">
        <f>D67</f>
        <v>7.6999999999999999E-2</v>
      </c>
      <c r="I67" s="53">
        <f>D67</f>
        <v>7.6999999999999999E-2</v>
      </c>
      <c r="J67" s="57"/>
      <c r="K67" s="18"/>
      <c r="L67" s="53">
        <f>$D$67</f>
        <v>7.6999999999999999E-2</v>
      </c>
      <c r="M67" s="55">
        <f>$D$67</f>
        <v>7.6999999999999999E-2</v>
      </c>
      <c r="N67" s="286"/>
      <c r="O67" s="275"/>
      <c r="P67" s="285"/>
      <c r="R67" s="135"/>
    </row>
    <row r="68" spans="1:26" ht="12.95" customHeight="1">
      <c r="A68" s="5" t="str">
        <f>IF(UMYr2!A68&lt;&gt;"",UMYr2!A68,"")</f>
        <v/>
      </c>
      <c r="B68" s="762" t="str">
        <f>UMYr2!B68</f>
        <v>F&amp;A RATE     On-Campus</v>
      </c>
      <c r="C68" s="763"/>
      <c r="D68" s="121">
        <f>Sponsor!F69</f>
        <v>0.47699999999999998</v>
      </c>
      <c r="E68" s="632">
        <f>D68</f>
        <v>0.47699999999999998</v>
      </c>
      <c r="F68" s="56">
        <f>D68</f>
        <v>0.47699999999999998</v>
      </c>
      <c r="G68" s="53">
        <f>D68</f>
        <v>0.47699999999999998</v>
      </c>
      <c r="H68" s="53">
        <f>D68</f>
        <v>0.47699999999999998</v>
      </c>
      <c r="I68" s="53">
        <f>D68</f>
        <v>0.47699999999999998</v>
      </c>
      <c r="J68" s="89">
        <f>I68</f>
        <v>0.47699999999999998</v>
      </c>
      <c r="K68" s="18"/>
      <c r="L68" s="17">
        <f>$D$68</f>
        <v>0.47699999999999998</v>
      </c>
      <c r="M68" s="615">
        <f>$D$68</f>
        <v>0.47699999999999998</v>
      </c>
      <c r="N68" s="286"/>
      <c r="O68" s="275"/>
      <c r="P68" s="285"/>
      <c r="R68" s="135"/>
    </row>
    <row r="69" spans="1:26" ht="12.95" customHeight="1" thickBot="1">
      <c r="A69" s="5" t="str">
        <f>IF(UMYr2!A69&lt;&gt;"",UMYr2!A69,"")</f>
        <v/>
      </c>
      <c r="B69" s="774" t="str">
        <f>UMYr2!B69</f>
        <v>F&amp;A RATE CHARGED</v>
      </c>
      <c r="C69" s="775"/>
      <c r="D69" s="122">
        <f>Sponsor!F70</f>
        <v>0.47699999999999998</v>
      </c>
      <c r="E69" s="633">
        <f>D69</f>
        <v>0.47699999999999998</v>
      </c>
      <c r="F69" s="224">
        <f>D69</f>
        <v>0.47699999999999998</v>
      </c>
      <c r="G69" s="630">
        <f>D69</f>
        <v>0.47699999999999998</v>
      </c>
      <c r="H69" s="224">
        <f>D69</f>
        <v>0.47699999999999998</v>
      </c>
      <c r="I69" s="224">
        <f>D69</f>
        <v>0.47699999999999998</v>
      </c>
      <c r="J69" s="224">
        <f>I69</f>
        <v>0.47699999999999998</v>
      </c>
      <c r="K69" s="287"/>
      <c r="L69" s="616">
        <v>0</v>
      </c>
      <c r="M69" s="617">
        <v>0</v>
      </c>
      <c r="N69" s="288"/>
      <c r="O69" s="5"/>
      <c r="P69" s="223"/>
      <c r="R69" s="135"/>
      <c r="S69" s="223"/>
    </row>
    <row r="70" spans="1:26" ht="12.95" customHeight="1">
      <c r="A70" s="5" t="str">
        <f>IF(UMYr2!A70&lt;&gt;"",UMYr2!A70,"")</f>
        <v/>
      </c>
      <c r="B70" s="73" t="s">
        <v>563</v>
      </c>
      <c r="C70" s="227"/>
      <c r="D70" s="227"/>
      <c r="E70" s="227"/>
      <c r="F70" s="227"/>
      <c r="G70" s="227"/>
      <c r="H70" s="227"/>
      <c r="I70" s="227"/>
      <c r="J70" s="227"/>
      <c r="K70" s="227"/>
      <c r="L70" s="227"/>
      <c r="M70" s="227"/>
      <c r="N70" s="228"/>
    </row>
    <row r="71" spans="1:26" ht="12.95" customHeight="1">
      <c r="A71" s="5" t="str">
        <f>IF(UMYr2!A71&lt;&gt;"",UMYr2!A71,"")</f>
        <v/>
      </c>
      <c r="B71" s="317"/>
      <c r="C71" s="191" t="s">
        <v>564</v>
      </c>
      <c r="D71" s="30">
        <f>Sponsor!F74</f>
        <v>0</v>
      </c>
      <c r="E71" s="31">
        <f>E13+E15+E16+E19+E20+E21+E22</f>
        <v>0</v>
      </c>
      <c r="F71" s="31">
        <f>F13+F15+F16+F19+F20+F21+F22</f>
        <v>0</v>
      </c>
      <c r="G71" s="31">
        <f>G13+G15+G16+G19+G20+G21+G22</f>
        <v>0</v>
      </c>
      <c r="H71" s="31">
        <f>H13+H15+H16+H19+H20+H21+H22</f>
        <v>0</v>
      </c>
      <c r="I71" s="31">
        <f>I13+I15+I16+I19+I20+I21+I22</f>
        <v>0</v>
      </c>
      <c r="J71" s="289">
        <f>SUM(E71:I71)</f>
        <v>0</v>
      </c>
      <c r="K71" s="30">
        <f>D71+J71</f>
        <v>0</v>
      </c>
      <c r="L71" s="31">
        <f>L13+L15+L16+L19+L20+L21+L22</f>
        <v>0</v>
      </c>
      <c r="M71" s="31">
        <f>M13+M15+M16+M19+M20+M21+M22</f>
        <v>0</v>
      </c>
      <c r="N71" s="77">
        <f>SUM(K71:M71)</f>
        <v>0</v>
      </c>
      <c r="Q71" s="223"/>
      <c r="T71" s="452" t="s">
        <v>665</v>
      </c>
      <c r="U71" s="452" t="s">
        <v>666</v>
      </c>
      <c r="V71" s="223" t="s">
        <v>667</v>
      </c>
      <c r="W71" s="223" t="s">
        <v>668</v>
      </c>
      <c r="X71" s="452" t="s">
        <v>13</v>
      </c>
      <c r="Y71" s="453" t="s">
        <v>647</v>
      </c>
      <c r="Z71" s="453" t="s">
        <v>13</v>
      </c>
    </row>
    <row r="72" spans="1:26" ht="12.95" customHeight="1">
      <c r="A72" s="5" t="str">
        <f>IF(UMYr2!A72&lt;&gt;"",UMYr2!A72,"")</f>
        <v/>
      </c>
      <c r="B72" s="317"/>
      <c r="C72" s="233" t="s">
        <v>565</v>
      </c>
      <c r="D72" s="32">
        <f>Sponsor!F75</f>
        <v>0</v>
      </c>
      <c r="E72" s="31">
        <f>E20+E21+SUM(T72:T91)</f>
        <v>0</v>
      </c>
      <c r="F72" s="31">
        <f>F20+F21+SUM(U72:U91)</f>
        <v>0</v>
      </c>
      <c r="G72" s="31">
        <f>G20+G21+SUM(V72:V91)</f>
        <v>0</v>
      </c>
      <c r="H72" s="31">
        <f>H20+H21+SUM(W72:W91)</f>
        <v>0</v>
      </c>
      <c r="I72" s="31">
        <f>I20+I21+SUM(X72:X91)</f>
        <v>0</v>
      </c>
      <c r="J72" s="11">
        <f>SUM(E72:I72)</f>
        <v>0</v>
      </c>
      <c r="K72" s="32">
        <f>D72+J72</f>
        <v>0</v>
      </c>
      <c r="L72" s="31">
        <f>L20+L21+SUM(Y72:Y91)</f>
        <v>0</v>
      </c>
      <c r="M72" s="31">
        <f>M20+M21+SUM(Z72:Z91)</f>
        <v>0</v>
      </c>
      <c r="N72" s="78">
        <f>SUM(K72:M72)</f>
        <v>0</v>
      </c>
      <c r="T72" s="198">
        <f t="shared" ref="T72:X75" si="15">IF(LEN($A8)=5,E8,0)</f>
        <v>0</v>
      </c>
      <c r="U72" s="198">
        <f t="shared" si="15"/>
        <v>0</v>
      </c>
      <c r="V72" s="198">
        <f t="shared" si="15"/>
        <v>0</v>
      </c>
      <c r="W72" s="198">
        <f t="shared" si="15"/>
        <v>0</v>
      </c>
      <c r="X72" s="198">
        <f t="shared" si="15"/>
        <v>0</v>
      </c>
      <c r="Y72" s="198">
        <f t="shared" ref="Y72:Z75" si="16">IF(LEN($A8)=5,L8,0)</f>
        <v>0</v>
      </c>
      <c r="Z72" s="198">
        <f t="shared" si="16"/>
        <v>0</v>
      </c>
    </row>
    <row r="73" spans="1:26" ht="12.95" customHeight="1">
      <c r="A73" s="5" t="str">
        <f>IF(UMYr2!A73&lt;&gt;"",UMYr2!A73,"")</f>
        <v/>
      </c>
      <c r="B73" s="940" t="s">
        <v>566</v>
      </c>
      <c r="C73" s="1038"/>
      <c r="D73" s="32">
        <f>Sponsor!F76</f>
        <v>0</v>
      </c>
      <c r="E73" s="31">
        <f>ROUND((E71-E72)*E66,0)</f>
        <v>0</v>
      </c>
      <c r="F73" s="31">
        <f>ROUND((F71-F72)*F66,0)</f>
        <v>0</v>
      </c>
      <c r="G73" s="31">
        <f>ROUND((G71-G72)*G66,0)</f>
        <v>0</v>
      </c>
      <c r="H73" s="31">
        <f>ROUND((H71-H72)*H66,0)</f>
        <v>0</v>
      </c>
      <c r="I73" s="31">
        <f>ROUND((I71-I72)*I66,0)</f>
        <v>0</v>
      </c>
      <c r="J73" s="11">
        <f>SUM(E73:I73)</f>
        <v>0</v>
      </c>
      <c r="K73" s="32">
        <f>D73+J73</f>
        <v>0</v>
      </c>
      <c r="L73" s="31">
        <f>ROUND((L71-L72)*L66,0)</f>
        <v>0</v>
      </c>
      <c r="M73" s="31">
        <f>ROUND((M71-M72)*M66,0)</f>
        <v>0</v>
      </c>
      <c r="N73" s="78">
        <f>SUM(K73:M73)</f>
        <v>0</v>
      </c>
      <c r="Q73" s="229"/>
      <c r="T73" s="198">
        <f t="shared" si="15"/>
        <v>0</v>
      </c>
      <c r="U73" s="198">
        <f t="shared" si="15"/>
        <v>0</v>
      </c>
      <c r="V73" s="198">
        <f t="shared" si="15"/>
        <v>0</v>
      </c>
      <c r="W73" s="198">
        <f t="shared" si="15"/>
        <v>0</v>
      </c>
      <c r="X73" s="198">
        <f t="shared" si="15"/>
        <v>0</v>
      </c>
      <c r="Y73" s="198">
        <f t="shared" si="16"/>
        <v>0</v>
      </c>
      <c r="Z73" s="198">
        <f t="shared" si="16"/>
        <v>0</v>
      </c>
    </row>
    <row r="74" spans="1:26" ht="12.95" customHeight="1">
      <c r="A74" s="5" t="str">
        <f>IF(UMYr2!A74&lt;&gt;"",UMYr2!A74,"")</f>
        <v/>
      </c>
      <c r="B74" s="925" t="s">
        <v>567</v>
      </c>
      <c r="C74" s="1063"/>
      <c r="D74" s="26">
        <f>Sponsor!F77</f>
        <v>0</v>
      </c>
      <c r="E74" s="34">
        <f>ROUND(E72*E67,0)</f>
        <v>0</v>
      </c>
      <c r="F74" s="34">
        <f>ROUND(F72*F67,0)</f>
        <v>0</v>
      </c>
      <c r="G74" s="34">
        <f>ROUND(G72*G67,0)</f>
        <v>0</v>
      </c>
      <c r="H74" s="34">
        <f>ROUND(H72*H67,0)</f>
        <v>0</v>
      </c>
      <c r="I74" s="34">
        <f>ROUND(I72*I67,0)</f>
        <v>0</v>
      </c>
      <c r="J74" s="290">
        <f>SUM(E74:I74)</f>
        <v>0</v>
      </c>
      <c r="K74" s="26">
        <f>D74+J74</f>
        <v>0</v>
      </c>
      <c r="L74" s="34">
        <f>ROUND(L72*L67,0)</f>
        <v>0</v>
      </c>
      <c r="M74" s="34">
        <f>ROUND(M72*M67,0)</f>
        <v>0</v>
      </c>
      <c r="N74" s="174">
        <f>SUM(K74:M74)</f>
        <v>0</v>
      </c>
      <c r="Q74" s="229"/>
      <c r="T74" s="198">
        <f t="shared" si="15"/>
        <v>0</v>
      </c>
      <c r="U74" s="198">
        <f t="shared" si="15"/>
        <v>0</v>
      </c>
      <c r="V74" s="198">
        <f t="shared" si="15"/>
        <v>0</v>
      </c>
      <c r="W74" s="198">
        <f t="shared" si="15"/>
        <v>0</v>
      </c>
      <c r="X74" s="198">
        <f t="shared" si="15"/>
        <v>0</v>
      </c>
      <c r="Y74" s="198">
        <f t="shared" si="16"/>
        <v>0</v>
      </c>
      <c r="Z74" s="198">
        <f t="shared" si="16"/>
        <v>0</v>
      </c>
    </row>
    <row r="75" spans="1:26" ht="12.95" customHeight="1" thickBot="1">
      <c r="A75" s="5" t="str">
        <f>IF(UMYr2!A75&lt;&gt;"",UMYr2!A75,"")</f>
        <v/>
      </c>
      <c r="B75" s="950" t="s">
        <v>568</v>
      </c>
      <c r="C75" s="1040"/>
      <c r="D75" s="182">
        <f>Sponsor!F78</f>
        <v>0</v>
      </c>
      <c r="E75" s="183">
        <f>E73+E74</f>
        <v>0</v>
      </c>
      <c r="F75" s="183">
        <f>F73+F74</f>
        <v>0</v>
      </c>
      <c r="G75" s="183">
        <f>G73+G74</f>
        <v>0</v>
      </c>
      <c r="H75" s="183">
        <f>H73+H74</f>
        <v>0</v>
      </c>
      <c r="I75" s="183">
        <f>I73+I74</f>
        <v>0</v>
      </c>
      <c r="J75" s="291">
        <f>SUM(E75:I75)</f>
        <v>0</v>
      </c>
      <c r="K75" s="182">
        <f>D75+J75</f>
        <v>0</v>
      </c>
      <c r="L75" s="183">
        <f>L73+L74</f>
        <v>0</v>
      </c>
      <c r="M75" s="183">
        <f>M73+M74</f>
        <v>0</v>
      </c>
      <c r="N75" s="185">
        <f>SUM(K75:M75)</f>
        <v>0</v>
      </c>
      <c r="Q75" s="229"/>
      <c r="T75" s="198">
        <f t="shared" si="15"/>
        <v>0</v>
      </c>
      <c r="U75" s="198">
        <f t="shared" si="15"/>
        <v>0</v>
      </c>
      <c r="V75" s="198">
        <f t="shared" si="15"/>
        <v>0</v>
      </c>
      <c r="W75" s="198">
        <f t="shared" si="15"/>
        <v>0</v>
      </c>
      <c r="X75" s="198">
        <f t="shared" si="15"/>
        <v>0</v>
      </c>
      <c r="Y75" s="198">
        <f t="shared" si="16"/>
        <v>0</v>
      </c>
      <c r="Z75" s="198">
        <f t="shared" si="16"/>
        <v>0</v>
      </c>
    </row>
    <row r="76" spans="1:26" ht="12.95" customHeight="1">
      <c r="A76" s="5" t="str">
        <f>IF(UMYr2!A76&lt;&gt;"",UMYr2!A76,"")</f>
        <v/>
      </c>
      <c r="B76" s="74" t="s">
        <v>569</v>
      </c>
      <c r="C76" s="230"/>
      <c r="D76" s="230"/>
      <c r="E76" s="230"/>
      <c r="F76" s="230"/>
      <c r="G76" s="230"/>
      <c r="H76" s="230"/>
      <c r="I76" s="230"/>
      <c r="J76" s="230"/>
      <c r="K76" s="230"/>
      <c r="L76" s="230"/>
      <c r="M76" s="230"/>
      <c r="N76" s="231"/>
      <c r="O76" s="134"/>
      <c r="P76" s="134"/>
      <c r="T76" s="198">
        <f t="shared" ref="T76:T91" si="17">IF(LEN($A86)=5,E86,0)</f>
        <v>0</v>
      </c>
      <c r="U76" s="198">
        <f t="shared" ref="U76:U91" si="18">IF(LEN($A86)=5,F86,0)</f>
        <v>0</v>
      </c>
      <c r="V76" s="198">
        <f t="shared" ref="V76:V91" si="19">IF(LEN($A86)=5,G86,0)</f>
        <v>0</v>
      </c>
      <c r="W76" s="198">
        <f t="shared" ref="W76:W91" si="20">IF(LEN($A86)=5,H86,0)</f>
        <v>0</v>
      </c>
      <c r="X76" s="198">
        <f t="shared" ref="X76:X91" si="21">IF(LEN($A86)=5,I86,0)</f>
        <v>0</v>
      </c>
      <c r="Y76" s="198">
        <f t="shared" ref="Y76:Y91" si="22">IF(LEN($A86)=5,L86,0)</f>
        <v>0</v>
      </c>
      <c r="Z76" s="198">
        <f t="shared" ref="Z76:Z91" si="23">IF(LEN($A86)=5,M86,0)</f>
        <v>0</v>
      </c>
    </row>
    <row r="77" spans="1:26" ht="12.95" customHeight="1">
      <c r="A77" s="5" t="str">
        <f>IF(UMYr2!A77&lt;&gt;"",UMYr2!A77,"")</f>
        <v/>
      </c>
      <c r="B77" s="953" t="s">
        <v>681</v>
      </c>
      <c r="C77" s="772"/>
      <c r="D77" s="665">
        <f>Sponsor!F80</f>
        <v>0</v>
      </c>
      <c r="E77" s="318"/>
      <c r="F77" s="28"/>
      <c r="G77" s="28"/>
      <c r="H77" s="28"/>
      <c r="I77" s="28"/>
      <c r="J77" s="28"/>
      <c r="K77" s="28"/>
      <c r="L77" s="28"/>
      <c r="M77" s="28"/>
      <c r="N77" s="172"/>
      <c r="T77" s="198">
        <f t="shared" si="17"/>
        <v>0</v>
      </c>
      <c r="U77" s="198">
        <f t="shared" si="18"/>
        <v>0</v>
      </c>
      <c r="V77" s="198">
        <f t="shared" si="19"/>
        <v>0</v>
      </c>
      <c r="W77" s="198">
        <f t="shared" si="20"/>
        <v>0</v>
      </c>
      <c r="X77" s="198">
        <f t="shared" si="21"/>
        <v>0</v>
      </c>
      <c r="Y77" s="198">
        <f t="shared" si="22"/>
        <v>0</v>
      </c>
      <c r="Z77" s="198">
        <f t="shared" si="23"/>
        <v>0</v>
      </c>
    </row>
    <row r="78" spans="1:26" ht="12.95" customHeight="1">
      <c r="A78" s="5" t="str">
        <f>IF(UMYr2!A78&lt;&gt;"",UMYr2!A78,"")</f>
        <v/>
      </c>
      <c r="B78" s="940" t="s">
        <v>542</v>
      </c>
      <c r="C78" s="1038"/>
      <c r="D78" s="31">
        <f>Sponsor!F81</f>
        <v>0</v>
      </c>
      <c r="E78" s="111">
        <f t="shared" ref="E78:J78" si="24">E53</f>
        <v>0</v>
      </c>
      <c r="F78" s="112">
        <f t="shared" si="24"/>
        <v>0</v>
      </c>
      <c r="G78" s="112">
        <f t="shared" si="24"/>
        <v>0</v>
      </c>
      <c r="H78" s="112">
        <f t="shared" si="24"/>
        <v>0</v>
      </c>
      <c r="I78" s="112">
        <f t="shared" si="24"/>
        <v>0</v>
      </c>
      <c r="J78" s="166">
        <f t="shared" si="24"/>
        <v>0</v>
      </c>
      <c r="K78" s="11">
        <f t="shared" ref="K78:K83" si="25">D78+J78</f>
        <v>0</v>
      </c>
      <c r="L78" s="346">
        <f>L53</f>
        <v>0</v>
      </c>
      <c r="M78" s="977" t="s">
        <v>658</v>
      </c>
      <c r="N78" s="78">
        <f t="shared" ref="N78:N83" si="26">SUM(K78:L78)</f>
        <v>0</v>
      </c>
      <c r="T78" s="198">
        <f t="shared" si="17"/>
        <v>0</v>
      </c>
      <c r="U78" s="198">
        <f t="shared" si="18"/>
        <v>0</v>
      </c>
      <c r="V78" s="198">
        <f t="shared" si="19"/>
        <v>0</v>
      </c>
      <c r="W78" s="198">
        <f t="shared" si="20"/>
        <v>0</v>
      </c>
      <c r="X78" s="198">
        <f t="shared" si="21"/>
        <v>0</v>
      </c>
      <c r="Y78" s="198">
        <f t="shared" si="22"/>
        <v>0</v>
      </c>
      <c r="Z78" s="198">
        <f t="shared" si="23"/>
        <v>0</v>
      </c>
    </row>
    <row r="79" spans="1:26" ht="12.95" customHeight="1">
      <c r="A79" s="5" t="str">
        <f>IF(UMYr2!A79&lt;&gt;"",UMYr2!A79,"")</f>
        <v/>
      </c>
      <c r="B79" s="940" t="s">
        <v>570</v>
      </c>
      <c r="C79" s="1038"/>
      <c r="D79" s="31">
        <f>Sponsor!F82</f>
        <v>0</v>
      </c>
      <c r="E79" s="111">
        <f t="shared" ref="E79:J79" si="27">-E31</f>
        <v>0</v>
      </c>
      <c r="F79" s="112">
        <f t="shared" si="27"/>
        <v>0</v>
      </c>
      <c r="G79" s="112">
        <f t="shared" si="27"/>
        <v>0</v>
      </c>
      <c r="H79" s="112">
        <f t="shared" si="27"/>
        <v>0</v>
      </c>
      <c r="I79" s="112">
        <f t="shared" si="27"/>
        <v>0</v>
      </c>
      <c r="J79" s="11">
        <f t="shared" si="27"/>
        <v>0</v>
      </c>
      <c r="K79" s="11">
        <f t="shared" si="25"/>
        <v>0</v>
      </c>
      <c r="L79" s="396">
        <f>-L31</f>
        <v>0</v>
      </c>
      <c r="M79" s="796"/>
      <c r="N79" s="78">
        <f t="shared" si="26"/>
        <v>0</v>
      </c>
      <c r="T79" s="198">
        <f t="shared" si="17"/>
        <v>0</v>
      </c>
      <c r="U79" s="198">
        <f t="shared" si="18"/>
        <v>0</v>
      </c>
      <c r="V79" s="198">
        <f t="shared" si="19"/>
        <v>0</v>
      </c>
      <c r="W79" s="198">
        <f t="shared" si="20"/>
        <v>0</v>
      </c>
      <c r="X79" s="198">
        <f t="shared" si="21"/>
        <v>0</v>
      </c>
      <c r="Y79" s="198">
        <f t="shared" si="22"/>
        <v>0</v>
      </c>
      <c r="Z79" s="198">
        <f t="shared" si="23"/>
        <v>0</v>
      </c>
    </row>
    <row r="80" spans="1:26" ht="12.95" customHeight="1">
      <c r="A80" s="5" t="str">
        <f>IF(UMYr2!A80&lt;&gt;"",UMYr2!A80,"")</f>
        <v/>
      </c>
      <c r="B80" s="940" t="s">
        <v>571</v>
      </c>
      <c r="C80" s="1038"/>
      <c r="D80" s="31">
        <f>Sponsor!F83</f>
        <v>0</v>
      </c>
      <c r="E80" s="111">
        <f>-E42</f>
        <v>0</v>
      </c>
      <c r="F80" s="112">
        <f>-F42</f>
        <v>0</v>
      </c>
      <c r="G80" s="112">
        <f>-G42</f>
        <v>0</v>
      </c>
      <c r="H80" s="112">
        <f>-H42</f>
        <v>0</v>
      </c>
      <c r="I80" s="112">
        <f>-I42</f>
        <v>0</v>
      </c>
      <c r="J80" s="11">
        <f>SUM(E80:I80)</f>
        <v>0</v>
      </c>
      <c r="K80" s="11">
        <f t="shared" si="25"/>
        <v>0</v>
      </c>
      <c r="L80" s="112">
        <f>-L42</f>
        <v>0</v>
      </c>
      <c r="M80" s="796"/>
      <c r="N80" s="78">
        <f t="shared" si="26"/>
        <v>0</v>
      </c>
      <c r="T80" s="198">
        <f t="shared" si="17"/>
        <v>0</v>
      </c>
      <c r="U80" s="198">
        <f t="shared" si="18"/>
        <v>0</v>
      </c>
      <c r="V80" s="198">
        <f t="shared" si="19"/>
        <v>0</v>
      </c>
      <c r="W80" s="198">
        <f t="shared" si="20"/>
        <v>0</v>
      </c>
      <c r="X80" s="198">
        <f t="shared" si="21"/>
        <v>0</v>
      </c>
      <c r="Y80" s="198">
        <f t="shared" si="22"/>
        <v>0</v>
      </c>
      <c r="Z80" s="198">
        <f t="shared" si="23"/>
        <v>0</v>
      </c>
    </row>
    <row r="81" spans="1:26" ht="12.95" customHeight="1">
      <c r="A81" s="5" t="str">
        <f>IF(UMYr2!A81&lt;&gt;"",UMYr2!A81,"")</f>
        <v/>
      </c>
      <c r="B81" s="940" t="s">
        <v>572</v>
      </c>
      <c r="C81" s="1038"/>
      <c r="D81" s="31">
        <f>Sponsor!F84</f>
        <v>0</v>
      </c>
      <c r="E81" s="111">
        <f t="shared" ref="E81:J81" si="28">-E49</f>
        <v>0</v>
      </c>
      <c r="F81" s="112">
        <f t="shared" si="28"/>
        <v>0</v>
      </c>
      <c r="G81" s="112">
        <f t="shared" si="28"/>
        <v>0</v>
      </c>
      <c r="H81" s="112">
        <f t="shared" si="28"/>
        <v>0</v>
      </c>
      <c r="I81" s="112">
        <f t="shared" si="28"/>
        <v>0</v>
      </c>
      <c r="J81" s="11">
        <f t="shared" si="28"/>
        <v>0</v>
      </c>
      <c r="K81" s="11">
        <f t="shared" si="25"/>
        <v>0</v>
      </c>
      <c r="L81" s="112">
        <f>-L49</f>
        <v>0</v>
      </c>
      <c r="M81" s="796"/>
      <c r="N81" s="78">
        <f t="shared" si="26"/>
        <v>0</v>
      </c>
      <c r="T81" s="198">
        <f t="shared" si="17"/>
        <v>0</v>
      </c>
      <c r="U81" s="198">
        <f t="shared" si="18"/>
        <v>0</v>
      </c>
      <c r="V81" s="198">
        <f t="shared" si="19"/>
        <v>0</v>
      </c>
      <c r="W81" s="198">
        <f t="shared" si="20"/>
        <v>0</v>
      </c>
      <c r="X81" s="198">
        <f t="shared" si="21"/>
        <v>0</v>
      </c>
      <c r="Y81" s="198">
        <f t="shared" si="22"/>
        <v>0</v>
      </c>
      <c r="Z81" s="198">
        <f t="shared" si="23"/>
        <v>0</v>
      </c>
    </row>
    <row r="82" spans="1:26" ht="12.95" customHeight="1">
      <c r="A82" s="5" t="str">
        <f>IF(UMYr2!A82&lt;&gt;"",UMYr2!A82,"")</f>
        <v/>
      </c>
      <c r="B82" s="317"/>
      <c r="C82" s="233" t="s">
        <v>573</v>
      </c>
      <c r="D82" s="23">
        <f>Sponsor!F85</f>
        <v>0</v>
      </c>
      <c r="E82" s="165" t="s">
        <v>658</v>
      </c>
      <c r="F82" s="123" t="s">
        <v>658</v>
      </c>
      <c r="G82" s="123" t="s">
        <v>658</v>
      </c>
      <c r="H82" s="123" t="s">
        <v>658</v>
      </c>
      <c r="I82" s="123" t="s">
        <v>658</v>
      </c>
      <c r="J82" s="43">
        <f>-UMYr1!V142</f>
        <v>0</v>
      </c>
      <c r="K82" s="397">
        <f>D82+J82</f>
        <v>0</v>
      </c>
      <c r="L82" s="123" t="s">
        <v>658</v>
      </c>
      <c r="M82" s="796"/>
      <c r="N82" s="173">
        <f t="shared" si="26"/>
        <v>0</v>
      </c>
      <c r="T82" s="198">
        <f t="shared" si="17"/>
        <v>0</v>
      </c>
      <c r="U82" s="198">
        <f t="shared" si="18"/>
        <v>0</v>
      </c>
      <c r="V82" s="198">
        <f t="shared" si="19"/>
        <v>0</v>
      </c>
      <c r="W82" s="198">
        <f t="shared" si="20"/>
        <v>0</v>
      </c>
      <c r="X82" s="198">
        <f t="shared" si="21"/>
        <v>0</v>
      </c>
      <c r="Y82" s="198">
        <f t="shared" si="22"/>
        <v>0</v>
      </c>
      <c r="Z82" s="198">
        <f t="shared" si="23"/>
        <v>0</v>
      </c>
    </row>
    <row r="83" spans="1:26" ht="12.95" customHeight="1">
      <c r="A83" s="5" t="str">
        <f>IF(UMYr2!A83&lt;&gt;"",UMYr2!A83,"")</f>
        <v/>
      </c>
      <c r="B83" s="955" t="s">
        <v>670</v>
      </c>
      <c r="C83" s="1038"/>
      <c r="D83" s="114">
        <f>Sponsor!F86</f>
        <v>0</v>
      </c>
      <c r="E83" s="65"/>
      <c r="F83" s="8"/>
      <c r="G83" s="8"/>
      <c r="H83" s="8"/>
      <c r="I83" s="8"/>
      <c r="J83" s="113">
        <f>SUM(E83:I83)</f>
        <v>0</v>
      </c>
      <c r="K83" s="11">
        <f t="shared" si="25"/>
        <v>0</v>
      </c>
      <c r="L83" s="275"/>
      <c r="M83" s="733"/>
      <c r="N83" s="173">
        <f t="shared" si="26"/>
        <v>0</v>
      </c>
      <c r="T83" s="198">
        <f t="shared" si="17"/>
        <v>0</v>
      </c>
      <c r="U83" s="198">
        <f t="shared" si="18"/>
        <v>0</v>
      </c>
      <c r="V83" s="198">
        <f t="shared" si="19"/>
        <v>0</v>
      </c>
      <c r="W83" s="198">
        <f t="shared" si="20"/>
        <v>0</v>
      </c>
      <c r="X83" s="198">
        <f t="shared" si="21"/>
        <v>0</v>
      </c>
      <c r="Y83" s="198">
        <f t="shared" si="22"/>
        <v>0</v>
      </c>
      <c r="Z83" s="198">
        <f t="shared" si="23"/>
        <v>0</v>
      </c>
    </row>
    <row r="84" spans="1:26" s="235" customFormat="1" ht="12.95" customHeight="1" thickBot="1">
      <c r="A84" s="343" t="str">
        <f>IF(UMYr2!A84&lt;&gt;"",UMYr2!A84,"")</f>
        <v/>
      </c>
      <c r="B84" s="950" t="s">
        <v>575</v>
      </c>
      <c r="C84" s="1040"/>
      <c r="D84" s="71">
        <f>Sponsor!F87</f>
        <v>0</v>
      </c>
      <c r="E84" s="99">
        <f t="shared" ref="E84:M84" si="29">IF($D$77="TDC",E53,SUM(E78:E83))</f>
        <v>0</v>
      </c>
      <c r="F84" s="128">
        <f t="shared" si="29"/>
        <v>0</v>
      </c>
      <c r="G84" s="128">
        <f t="shared" si="29"/>
        <v>0</v>
      </c>
      <c r="H84" s="128">
        <f t="shared" si="29"/>
        <v>0</v>
      </c>
      <c r="I84" s="128">
        <f t="shared" si="29"/>
        <v>0</v>
      </c>
      <c r="J84" s="293">
        <f t="shared" si="29"/>
        <v>0</v>
      </c>
      <c r="K84" s="293">
        <f t="shared" si="29"/>
        <v>0</v>
      </c>
      <c r="L84" s="128">
        <f t="shared" si="29"/>
        <v>0</v>
      </c>
      <c r="M84" s="128">
        <f t="shared" si="29"/>
        <v>0</v>
      </c>
      <c r="N84" s="79">
        <f>SUM(K84:M84)</f>
        <v>0</v>
      </c>
      <c r="O84"/>
      <c r="P84"/>
      <c r="T84" s="450">
        <f t="shared" si="17"/>
        <v>0</v>
      </c>
      <c r="U84" s="450">
        <f t="shared" si="18"/>
        <v>0</v>
      </c>
      <c r="V84" s="450">
        <f t="shared" si="19"/>
        <v>0</v>
      </c>
      <c r="W84" s="450">
        <f t="shared" si="20"/>
        <v>0</v>
      </c>
      <c r="X84" s="450">
        <f t="shared" si="21"/>
        <v>0</v>
      </c>
      <c r="Y84" s="450">
        <f t="shared" si="22"/>
        <v>0</v>
      </c>
      <c r="Z84" s="450">
        <f t="shared" si="23"/>
        <v>0</v>
      </c>
    </row>
    <row r="85" spans="1:26" ht="12.95" customHeight="1">
      <c r="A85" s="665" t="str">
        <f>IF(UMYr2!A85&lt;&gt;"",UMYr2!A85,"")</f>
        <v/>
      </c>
      <c r="B85" s="84" t="str">
        <f>IF(UMYr1!B85="","",UMYr1!B85)</f>
        <v>ADDITIONAL SENIOR PERSONNEL - names and account codes must be entered in Sponsor tab</v>
      </c>
      <c r="C85" s="230"/>
      <c r="D85" s="230"/>
      <c r="E85" s="230"/>
      <c r="F85" s="230"/>
      <c r="G85" s="230"/>
      <c r="H85" s="230"/>
      <c r="I85" s="230"/>
      <c r="J85" s="230"/>
      <c r="K85" s="230"/>
      <c r="L85" s="230"/>
      <c r="M85" s="294"/>
      <c r="N85" s="231"/>
      <c r="O85" s="225"/>
      <c r="P85" s="225"/>
      <c r="T85" s="198">
        <f t="shared" si="17"/>
        <v>0</v>
      </c>
      <c r="U85" s="198">
        <f t="shared" si="18"/>
        <v>0</v>
      </c>
      <c r="V85" s="198">
        <f t="shared" si="19"/>
        <v>0</v>
      </c>
      <c r="W85" s="198">
        <f t="shared" si="20"/>
        <v>0</v>
      </c>
      <c r="X85" s="198">
        <f t="shared" si="21"/>
        <v>0</v>
      </c>
      <c r="Y85" s="198">
        <f t="shared" si="22"/>
        <v>0</v>
      </c>
      <c r="Z85" s="198">
        <f t="shared" si="23"/>
        <v>0</v>
      </c>
    </row>
    <row r="86" spans="1:26" ht="12.95" customHeight="1">
      <c r="A86" s="679" t="str">
        <f>IF(UMYr2!A86&lt;&gt;"",UMYr2!A86,"")</f>
        <v/>
      </c>
      <c r="B86" s="85" t="str">
        <f>UMYr1!B86</f>
        <v/>
      </c>
      <c r="C86" s="680" t="str">
        <f>IF(UMYr1!C86="","",UMYr1!C86)</f>
        <v/>
      </c>
      <c r="D86" s="105">
        <f>Sponsor!F89</f>
        <v>0</v>
      </c>
      <c r="E86" s="7"/>
      <c r="F86" s="7"/>
      <c r="G86" s="7"/>
      <c r="H86" s="7"/>
      <c r="I86" s="7"/>
      <c r="J86" s="29">
        <f t="shared" ref="J86:J101" si="30">SUM(E86:I86)</f>
        <v>0</v>
      </c>
      <c r="K86" s="30">
        <f t="shared" ref="K86:K101" si="31">D86+J86</f>
        <v>0</v>
      </c>
      <c r="L86" s="7"/>
      <c r="M86" s="7"/>
      <c r="N86" s="77">
        <f t="shared" ref="N86:N101" si="32">SUM(K86:M86)</f>
        <v>0</v>
      </c>
      <c r="O86" s="237"/>
      <c r="P86" s="237"/>
      <c r="T86" s="198">
        <f t="shared" si="17"/>
        <v>0</v>
      </c>
      <c r="U86" s="198">
        <f t="shared" si="18"/>
        <v>0</v>
      </c>
      <c r="V86" s="198">
        <f t="shared" si="19"/>
        <v>0</v>
      </c>
      <c r="W86" s="198">
        <f t="shared" si="20"/>
        <v>0</v>
      </c>
      <c r="X86" s="198">
        <f t="shared" si="21"/>
        <v>0</v>
      </c>
      <c r="Y86" s="198">
        <f t="shared" si="22"/>
        <v>0</v>
      </c>
      <c r="Z86" s="198">
        <f t="shared" si="23"/>
        <v>0</v>
      </c>
    </row>
    <row r="87" spans="1:26" ht="12.95" customHeight="1">
      <c r="A87" s="679" t="str">
        <f>IF(UMYr2!A87&lt;&gt;"",UMYr2!A87,"")</f>
        <v/>
      </c>
      <c r="B87" s="85" t="str">
        <f>UMYr1!B87</f>
        <v/>
      </c>
      <c r="C87" s="680" t="str">
        <f>IF(UMYr1!C87="","",UMYr1!C87)</f>
        <v/>
      </c>
      <c r="D87" s="106">
        <f>Sponsor!F90</f>
        <v>0</v>
      </c>
      <c r="E87" s="8"/>
      <c r="F87" s="8"/>
      <c r="G87" s="8"/>
      <c r="H87" s="8"/>
      <c r="I87" s="8"/>
      <c r="J87" s="31">
        <f t="shared" si="30"/>
        <v>0</v>
      </c>
      <c r="K87" s="32">
        <f t="shared" si="31"/>
        <v>0</v>
      </c>
      <c r="L87" s="8"/>
      <c r="M87" s="8"/>
      <c r="N87" s="78">
        <f t="shared" si="32"/>
        <v>0</v>
      </c>
      <c r="O87" s="237"/>
      <c r="P87" s="237"/>
      <c r="T87" s="198">
        <f t="shared" si="17"/>
        <v>0</v>
      </c>
      <c r="U87" s="198">
        <f t="shared" si="18"/>
        <v>0</v>
      </c>
      <c r="V87" s="198">
        <f t="shared" si="19"/>
        <v>0</v>
      </c>
      <c r="W87" s="198">
        <f t="shared" si="20"/>
        <v>0</v>
      </c>
      <c r="X87" s="198">
        <f t="shared" si="21"/>
        <v>0</v>
      </c>
      <c r="Y87" s="198">
        <f t="shared" si="22"/>
        <v>0</v>
      </c>
      <c r="Z87" s="198">
        <f t="shared" si="23"/>
        <v>0</v>
      </c>
    </row>
    <row r="88" spans="1:26" ht="12.95" customHeight="1">
      <c r="A88" s="679" t="str">
        <f>IF(UMYr2!A88&lt;&gt;"",UMYr2!A88,"")</f>
        <v/>
      </c>
      <c r="B88" s="85" t="str">
        <f>UMYr1!B88</f>
        <v/>
      </c>
      <c r="C88" s="680" t="str">
        <f>IF(UMYr1!C88="","",UMYr1!C88)</f>
        <v/>
      </c>
      <c r="D88" s="106">
        <f>Sponsor!F91</f>
        <v>0</v>
      </c>
      <c r="E88" s="8"/>
      <c r="F88" s="8"/>
      <c r="G88" s="8"/>
      <c r="H88" s="8"/>
      <c r="I88" s="8"/>
      <c r="J88" s="31">
        <f t="shared" si="30"/>
        <v>0</v>
      </c>
      <c r="K88" s="32">
        <f t="shared" si="31"/>
        <v>0</v>
      </c>
      <c r="L88" s="8"/>
      <c r="M88" s="8"/>
      <c r="N88" s="78">
        <f t="shared" si="32"/>
        <v>0</v>
      </c>
      <c r="O88" s="237"/>
      <c r="P88" s="237"/>
      <c r="T88" s="198">
        <f t="shared" si="17"/>
        <v>0</v>
      </c>
      <c r="U88" s="198">
        <f t="shared" si="18"/>
        <v>0</v>
      </c>
      <c r="V88" s="198">
        <f t="shared" si="19"/>
        <v>0</v>
      </c>
      <c r="W88" s="198">
        <f t="shared" si="20"/>
        <v>0</v>
      </c>
      <c r="X88" s="198">
        <f t="shared" si="21"/>
        <v>0</v>
      </c>
      <c r="Y88" s="198">
        <f t="shared" si="22"/>
        <v>0</v>
      </c>
      <c r="Z88" s="198">
        <f t="shared" si="23"/>
        <v>0</v>
      </c>
    </row>
    <row r="89" spans="1:26" ht="12.95" customHeight="1">
      <c r="A89" s="679" t="str">
        <f>IF(UMYr2!A89&lt;&gt;"",UMYr2!A89,"")</f>
        <v/>
      </c>
      <c r="B89" s="85" t="str">
        <f>UMYr1!B89</f>
        <v/>
      </c>
      <c r="C89" s="680" t="str">
        <f>IF(UMYr1!C89="","",UMYr1!C89)</f>
        <v/>
      </c>
      <c r="D89" s="106">
        <f>Sponsor!F92</f>
        <v>0</v>
      </c>
      <c r="E89" s="8"/>
      <c r="F89" s="8"/>
      <c r="G89" s="8"/>
      <c r="H89" s="8"/>
      <c r="I89" s="8"/>
      <c r="J89" s="31">
        <f t="shared" si="30"/>
        <v>0</v>
      </c>
      <c r="K89" s="32">
        <f t="shared" si="31"/>
        <v>0</v>
      </c>
      <c r="L89" s="8"/>
      <c r="M89" s="8"/>
      <c r="N89" s="78">
        <f t="shared" si="32"/>
        <v>0</v>
      </c>
      <c r="O89" s="237"/>
      <c r="P89" s="237"/>
      <c r="T89" s="198">
        <f t="shared" si="17"/>
        <v>0</v>
      </c>
      <c r="U89" s="198">
        <f t="shared" si="18"/>
        <v>0</v>
      </c>
      <c r="V89" s="198">
        <f t="shared" si="19"/>
        <v>0</v>
      </c>
      <c r="W89" s="198">
        <f t="shared" si="20"/>
        <v>0</v>
      </c>
      <c r="X89" s="198">
        <f t="shared" si="21"/>
        <v>0</v>
      </c>
      <c r="Y89" s="198">
        <f t="shared" si="22"/>
        <v>0</v>
      </c>
      <c r="Z89" s="198">
        <f t="shared" si="23"/>
        <v>0</v>
      </c>
    </row>
    <row r="90" spans="1:26" ht="12.95" customHeight="1">
      <c r="A90" s="679" t="str">
        <f>IF(UMYr2!A90&lt;&gt;"",UMYr2!A90,"")</f>
        <v/>
      </c>
      <c r="B90" s="85" t="str">
        <f>UMYr1!B90</f>
        <v/>
      </c>
      <c r="C90" s="680" t="str">
        <f>IF(UMYr1!C90="","",UMYr1!C90)</f>
        <v/>
      </c>
      <c r="D90" s="106">
        <f>Sponsor!F93</f>
        <v>0</v>
      </c>
      <c r="E90" s="8"/>
      <c r="F90" s="8"/>
      <c r="G90" s="8"/>
      <c r="H90" s="8"/>
      <c r="I90" s="8"/>
      <c r="J90" s="31">
        <f t="shared" si="30"/>
        <v>0</v>
      </c>
      <c r="K90" s="32">
        <f t="shared" si="31"/>
        <v>0</v>
      </c>
      <c r="L90" s="8"/>
      <c r="M90" s="8"/>
      <c r="N90" s="78">
        <f t="shared" si="32"/>
        <v>0</v>
      </c>
      <c r="O90" s="237"/>
      <c r="P90" s="237"/>
      <c r="T90" s="198">
        <f t="shared" si="17"/>
        <v>0</v>
      </c>
      <c r="U90" s="198">
        <f t="shared" si="18"/>
        <v>0</v>
      </c>
      <c r="V90" s="198">
        <f t="shared" si="19"/>
        <v>0</v>
      </c>
      <c r="W90" s="198">
        <f t="shared" si="20"/>
        <v>0</v>
      </c>
      <c r="X90" s="198">
        <f t="shared" si="21"/>
        <v>0</v>
      </c>
      <c r="Y90" s="198">
        <f t="shared" si="22"/>
        <v>0</v>
      </c>
      <c r="Z90" s="198">
        <f t="shared" si="23"/>
        <v>0</v>
      </c>
    </row>
    <row r="91" spans="1:26" ht="12.95" customHeight="1">
      <c r="A91" s="679" t="str">
        <f>IF(UMYr2!A91&lt;&gt;"",UMYr2!A91,"")</f>
        <v/>
      </c>
      <c r="B91" s="85" t="str">
        <f>UMYr1!B91</f>
        <v/>
      </c>
      <c r="C91" s="680" t="str">
        <f>IF(UMYr1!C91="","",UMYr1!C91)</f>
        <v/>
      </c>
      <c r="D91" s="106">
        <f>Sponsor!F94</f>
        <v>0</v>
      </c>
      <c r="E91" s="8"/>
      <c r="F91" s="8"/>
      <c r="G91" s="8"/>
      <c r="H91" s="8"/>
      <c r="I91" s="8"/>
      <c r="J91" s="31">
        <f t="shared" si="30"/>
        <v>0</v>
      </c>
      <c r="K91" s="32">
        <f t="shared" si="31"/>
        <v>0</v>
      </c>
      <c r="L91" s="8"/>
      <c r="M91" s="8"/>
      <c r="N91" s="78">
        <f t="shared" si="32"/>
        <v>0</v>
      </c>
      <c r="O91" s="237"/>
      <c r="P91" s="237"/>
      <c r="T91" s="198">
        <f t="shared" si="17"/>
        <v>0</v>
      </c>
      <c r="U91" s="198">
        <f t="shared" si="18"/>
        <v>0</v>
      </c>
      <c r="V91" s="198">
        <f t="shared" si="19"/>
        <v>0</v>
      </c>
      <c r="W91" s="198">
        <f t="shared" si="20"/>
        <v>0</v>
      </c>
      <c r="X91" s="198">
        <f t="shared" si="21"/>
        <v>0</v>
      </c>
      <c r="Y91" s="198">
        <f t="shared" si="22"/>
        <v>0</v>
      </c>
      <c r="Z91" s="198">
        <f t="shared" si="23"/>
        <v>0</v>
      </c>
    </row>
    <row r="92" spans="1:26" ht="12.95" customHeight="1">
      <c r="A92" s="679" t="str">
        <f>IF(UMYr2!A92&lt;&gt;"",UMYr2!A92,"")</f>
        <v/>
      </c>
      <c r="B92" s="85" t="str">
        <f>UMYr1!B92</f>
        <v/>
      </c>
      <c r="C92" s="680" t="str">
        <f>IF(UMYr1!C92="","",UMYr1!C92)</f>
        <v/>
      </c>
      <c r="D92" s="106">
        <f>Sponsor!F95</f>
        <v>0</v>
      </c>
      <c r="E92" s="8"/>
      <c r="F92" s="8"/>
      <c r="G92" s="8"/>
      <c r="H92" s="8"/>
      <c r="I92" s="8"/>
      <c r="J92" s="31">
        <f t="shared" si="30"/>
        <v>0</v>
      </c>
      <c r="K92" s="32">
        <f t="shared" si="31"/>
        <v>0</v>
      </c>
      <c r="L92" s="8"/>
      <c r="M92" s="8"/>
      <c r="N92" s="78">
        <f t="shared" si="32"/>
        <v>0</v>
      </c>
      <c r="O92" s="237"/>
      <c r="P92" s="237"/>
    </row>
    <row r="93" spans="1:26" ht="12.95" customHeight="1">
      <c r="A93" s="679" t="str">
        <f>IF(UMYr2!A93&lt;&gt;"",UMYr2!A93,"")</f>
        <v/>
      </c>
      <c r="B93" s="85" t="str">
        <f>UMYr1!B93</f>
        <v/>
      </c>
      <c r="C93" s="680" t="str">
        <f>IF(UMYr1!C93="","",UMYr1!C93)</f>
        <v/>
      </c>
      <c r="D93" s="106">
        <f>Sponsor!F96</f>
        <v>0</v>
      </c>
      <c r="E93" s="8"/>
      <c r="F93" s="8"/>
      <c r="G93" s="8"/>
      <c r="H93" s="8"/>
      <c r="I93" s="8"/>
      <c r="J93" s="31">
        <f t="shared" si="30"/>
        <v>0</v>
      </c>
      <c r="K93" s="32">
        <f t="shared" si="31"/>
        <v>0</v>
      </c>
      <c r="L93" s="8"/>
      <c r="M93" s="8"/>
      <c r="N93" s="78">
        <f t="shared" si="32"/>
        <v>0</v>
      </c>
      <c r="O93" s="237"/>
      <c r="P93" s="237"/>
    </row>
    <row r="94" spans="1:26" ht="12.95" customHeight="1">
      <c r="A94" s="679" t="str">
        <f>IF(UMYr2!A94&lt;&gt;"",UMYr2!A94,"")</f>
        <v/>
      </c>
      <c r="B94" s="85" t="str">
        <f>UMYr1!B94</f>
        <v/>
      </c>
      <c r="C94" s="680" t="str">
        <f>IF(UMYr1!C94="","",UMYr1!C94)</f>
        <v/>
      </c>
      <c r="D94" s="106">
        <f>Sponsor!F97</f>
        <v>0</v>
      </c>
      <c r="E94" s="8"/>
      <c r="F94" s="8"/>
      <c r="G94" s="8"/>
      <c r="H94" s="8"/>
      <c r="I94" s="8"/>
      <c r="J94" s="31">
        <f t="shared" si="30"/>
        <v>0</v>
      </c>
      <c r="K94" s="32">
        <f t="shared" si="31"/>
        <v>0</v>
      </c>
      <c r="L94" s="8"/>
      <c r="M94" s="8"/>
      <c r="N94" s="78">
        <f t="shared" si="32"/>
        <v>0</v>
      </c>
      <c r="O94" s="237"/>
      <c r="P94" s="237"/>
    </row>
    <row r="95" spans="1:26" ht="12.95" customHeight="1">
      <c r="A95" s="679" t="str">
        <f>IF(UMYr2!A95&lt;&gt;"",UMYr2!A95,"")</f>
        <v/>
      </c>
      <c r="B95" s="85" t="str">
        <f>UMYr1!B95</f>
        <v/>
      </c>
      <c r="C95" s="680" t="str">
        <f>IF(UMYr1!C95="","",UMYr1!C95)</f>
        <v/>
      </c>
      <c r="D95" s="106">
        <f>Sponsor!F98</f>
        <v>0</v>
      </c>
      <c r="E95" s="8"/>
      <c r="F95" s="8"/>
      <c r="G95" s="8"/>
      <c r="H95" s="8"/>
      <c r="I95" s="8"/>
      <c r="J95" s="31">
        <f t="shared" si="30"/>
        <v>0</v>
      </c>
      <c r="K95" s="32">
        <f t="shared" si="31"/>
        <v>0</v>
      </c>
      <c r="L95" s="8"/>
      <c r="M95" s="8"/>
      <c r="N95" s="78">
        <f t="shared" si="32"/>
        <v>0</v>
      </c>
      <c r="O95" s="237"/>
      <c r="P95" s="237"/>
    </row>
    <row r="96" spans="1:26" ht="12.95" customHeight="1">
      <c r="A96" s="679" t="str">
        <f>IF(UMYr2!A96&lt;&gt;"",UMYr2!A96,"")</f>
        <v/>
      </c>
      <c r="B96" s="85" t="str">
        <f>UMYr1!B96</f>
        <v/>
      </c>
      <c r="C96" s="680" t="str">
        <f>IF(UMYr1!C96="","",UMYr1!C96)</f>
        <v/>
      </c>
      <c r="D96" s="106">
        <f>Sponsor!F99</f>
        <v>0</v>
      </c>
      <c r="E96" s="8"/>
      <c r="F96" s="8"/>
      <c r="G96" s="8"/>
      <c r="H96" s="8"/>
      <c r="I96" s="8"/>
      <c r="J96" s="31">
        <f t="shared" si="30"/>
        <v>0</v>
      </c>
      <c r="K96" s="32">
        <f t="shared" si="31"/>
        <v>0</v>
      </c>
      <c r="L96" s="8"/>
      <c r="M96" s="8"/>
      <c r="N96" s="78">
        <f t="shared" si="32"/>
        <v>0</v>
      </c>
      <c r="O96" s="237"/>
      <c r="P96" s="237"/>
    </row>
    <row r="97" spans="1:18" ht="12.95" customHeight="1">
      <c r="A97" s="679" t="str">
        <f>IF(UMYr2!A97&lt;&gt;"",UMYr2!A97,"")</f>
        <v/>
      </c>
      <c r="B97" s="85" t="str">
        <f>UMYr1!B97</f>
        <v/>
      </c>
      <c r="C97" s="680" t="str">
        <f>IF(UMYr1!C97="","",UMYr1!C97)</f>
        <v/>
      </c>
      <c r="D97" s="106">
        <f>Sponsor!F100</f>
        <v>0</v>
      </c>
      <c r="E97" s="8"/>
      <c r="F97" s="8"/>
      <c r="G97" s="8"/>
      <c r="H97" s="8"/>
      <c r="I97" s="8"/>
      <c r="J97" s="31">
        <f t="shared" si="30"/>
        <v>0</v>
      </c>
      <c r="K97" s="32">
        <f t="shared" si="31"/>
        <v>0</v>
      </c>
      <c r="L97" s="8"/>
      <c r="M97" s="8"/>
      <c r="N97" s="78">
        <f t="shared" si="32"/>
        <v>0</v>
      </c>
      <c r="O97" s="237"/>
      <c r="P97" s="237"/>
    </row>
    <row r="98" spans="1:18" ht="12.95" customHeight="1">
      <c r="A98" s="679" t="str">
        <f>IF(UMYr2!A98&lt;&gt;"",UMYr2!A98,"")</f>
        <v/>
      </c>
      <c r="B98" s="85" t="str">
        <f>UMYr1!B98</f>
        <v/>
      </c>
      <c r="C98" s="680" t="str">
        <f>IF(UMYr1!C98="","",UMYr1!C98)</f>
        <v/>
      </c>
      <c r="D98" s="106">
        <f>Sponsor!F101</f>
        <v>0</v>
      </c>
      <c r="E98" s="8"/>
      <c r="F98" s="8"/>
      <c r="G98" s="8"/>
      <c r="H98" s="8"/>
      <c r="I98" s="8"/>
      <c r="J98" s="31">
        <f t="shared" si="30"/>
        <v>0</v>
      </c>
      <c r="K98" s="32">
        <f t="shared" si="31"/>
        <v>0</v>
      </c>
      <c r="L98" s="8"/>
      <c r="M98" s="8"/>
      <c r="N98" s="78">
        <f t="shared" si="32"/>
        <v>0</v>
      </c>
      <c r="O98" s="237"/>
      <c r="P98" s="237"/>
    </row>
    <row r="99" spans="1:18" ht="12.95" customHeight="1">
      <c r="A99" s="679" t="str">
        <f>IF(UMYr2!A99&lt;&gt;"",UMYr2!A99,"")</f>
        <v/>
      </c>
      <c r="B99" s="85" t="str">
        <f>UMYr1!B99</f>
        <v/>
      </c>
      <c r="C99" s="680" t="str">
        <f>IF(UMYr1!C99="","",UMYr1!C99)</f>
        <v/>
      </c>
      <c r="D99" s="106">
        <f>Sponsor!F102</f>
        <v>0</v>
      </c>
      <c r="E99" s="8"/>
      <c r="F99" s="8"/>
      <c r="G99" s="8"/>
      <c r="H99" s="8"/>
      <c r="I99" s="8"/>
      <c r="J99" s="31">
        <f t="shared" si="30"/>
        <v>0</v>
      </c>
      <c r="K99" s="32">
        <f t="shared" si="31"/>
        <v>0</v>
      </c>
      <c r="L99" s="8"/>
      <c r="M99" s="8"/>
      <c r="N99" s="78">
        <f t="shared" si="32"/>
        <v>0</v>
      </c>
      <c r="O99" s="237"/>
      <c r="P99" s="237"/>
    </row>
    <row r="100" spans="1:18" ht="12.95" customHeight="1">
      <c r="A100" s="679" t="str">
        <f>IF(UMYr2!A100&lt;&gt;"",UMYr2!A100,"")</f>
        <v/>
      </c>
      <c r="B100" s="85" t="str">
        <f>UMYr1!B100</f>
        <v/>
      </c>
      <c r="C100" s="680" t="str">
        <f>IF(UMYr1!C100="","",UMYr1!C100)</f>
        <v/>
      </c>
      <c r="D100" s="106">
        <f>Sponsor!F103</f>
        <v>0</v>
      </c>
      <c r="E100" s="8"/>
      <c r="F100" s="8"/>
      <c r="G100" s="8"/>
      <c r="H100" s="8"/>
      <c r="I100" s="8"/>
      <c r="J100" s="31">
        <f t="shared" si="30"/>
        <v>0</v>
      </c>
      <c r="K100" s="32">
        <f t="shared" si="31"/>
        <v>0</v>
      </c>
      <c r="L100" s="8"/>
      <c r="M100" s="8"/>
      <c r="N100" s="78">
        <f t="shared" si="32"/>
        <v>0</v>
      </c>
      <c r="O100" s="237"/>
      <c r="P100" s="237"/>
    </row>
    <row r="101" spans="1:18" ht="12.95" customHeight="1">
      <c r="A101" s="679" t="str">
        <f>IF(UMYr2!A101&lt;&gt;"",UMYr2!A101,"")</f>
        <v/>
      </c>
      <c r="B101" s="85" t="str">
        <f>UMYr1!B101</f>
        <v/>
      </c>
      <c r="C101" s="680" t="str">
        <f>IF(UMYr1!C101="","",UMYr1!C101)</f>
        <v/>
      </c>
      <c r="D101" s="106">
        <f>Sponsor!F104</f>
        <v>0</v>
      </c>
      <c r="E101" s="8"/>
      <c r="F101" s="8"/>
      <c r="G101" s="8"/>
      <c r="H101" s="8"/>
      <c r="I101" s="8"/>
      <c r="J101" s="31">
        <f t="shared" si="30"/>
        <v>0</v>
      </c>
      <c r="K101" s="32">
        <f t="shared" si="31"/>
        <v>0</v>
      </c>
      <c r="L101" s="8"/>
      <c r="M101" s="8"/>
      <c r="N101" s="94">
        <f t="shared" si="32"/>
        <v>0</v>
      </c>
      <c r="O101" s="237"/>
      <c r="P101" s="237"/>
    </row>
    <row r="102" spans="1:18" ht="12.95" customHeight="1" thickBot="1">
      <c r="A102" s="665" t="str">
        <f>IF(UMYr2!A102&lt;&gt;"",UMYr2!A102,"")</f>
        <v/>
      </c>
      <c r="B102" s="978" t="s">
        <v>672</v>
      </c>
      <c r="C102" s="979"/>
      <c r="D102" s="71">
        <f>Sponsor!F105</f>
        <v>0</v>
      </c>
      <c r="E102" s="295">
        <f t="shared" ref="E102:N102" si="33">SUM(E86:E101)</f>
        <v>0</v>
      </c>
      <c r="F102" s="295">
        <f t="shared" si="33"/>
        <v>0</v>
      </c>
      <c r="G102" s="295">
        <f t="shared" si="33"/>
        <v>0</v>
      </c>
      <c r="H102" s="295">
        <f t="shared" si="33"/>
        <v>0</v>
      </c>
      <c r="I102" s="295">
        <f t="shared" si="33"/>
        <v>0</v>
      </c>
      <c r="J102" s="293">
        <f t="shared" si="33"/>
        <v>0</v>
      </c>
      <c r="K102" s="293">
        <f t="shared" si="33"/>
        <v>0</v>
      </c>
      <c r="L102" s="295">
        <f t="shared" si="33"/>
        <v>0</v>
      </c>
      <c r="M102" s="295">
        <f t="shared" si="33"/>
        <v>0</v>
      </c>
      <c r="N102" s="79">
        <f t="shared" si="33"/>
        <v>0</v>
      </c>
      <c r="O102" s="238"/>
      <c r="P102" s="238"/>
    </row>
    <row r="103" spans="1:18" ht="12.95" customHeight="1">
      <c r="A103" s="5" t="str">
        <f>IF(UMYr2!A103&lt;&gt;"",UMYr2!A103,"")</f>
        <v/>
      </c>
      <c r="B103" s="74" t="str">
        <f>IF(UMYr1!B103="","",UMYr1!B103)</f>
        <v>ADDITIONAL CAPITAL EQUIPMENT OR CONSTRUCTION - descriptions and account codes must be entered in Sponsor tab</v>
      </c>
      <c r="C103" s="230"/>
      <c r="D103" s="230"/>
      <c r="E103" s="230"/>
      <c r="F103" s="230"/>
      <c r="G103" s="230"/>
      <c r="H103" s="230"/>
      <c r="I103" s="230"/>
      <c r="J103" s="230"/>
      <c r="K103" s="230"/>
      <c r="L103" s="230"/>
      <c r="M103" s="230"/>
      <c r="N103" s="231"/>
      <c r="O103" s="320"/>
      <c r="P103" s="321"/>
      <c r="Q103" s="321"/>
      <c r="R103" s="321"/>
    </row>
    <row r="104" spans="1:18" ht="12.95" customHeight="1">
      <c r="A104" s="679" t="str">
        <f>IF(UMYr2!A104&lt;&gt;"",UMYr2!A104,"")</f>
        <v/>
      </c>
      <c r="B104" s="85" t="str">
        <f>UMYr1!B104</f>
        <v/>
      </c>
      <c r="C104" s="680" t="str">
        <f>IF(UMYr1!C104="","",UMYr1!C104)</f>
        <v/>
      </c>
      <c r="D104" s="108">
        <f>Sponsor!F107</f>
        <v>0</v>
      </c>
      <c r="E104" s="9"/>
      <c r="F104" s="9"/>
      <c r="G104" s="9"/>
      <c r="H104" s="9"/>
      <c r="I104" s="9"/>
      <c r="J104" s="23">
        <f t="shared" ref="J104:J109" si="34">SUM(E104:I104)</f>
        <v>0</v>
      </c>
      <c r="K104" s="32">
        <f t="shared" ref="K104:K109" si="35">D104+J104</f>
        <v>0</v>
      </c>
      <c r="L104" s="12"/>
      <c r="M104" s="13"/>
      <c r="N104" s="175">
        <f t="shared" ref="N104:N109" si="36">SUM(K104:M104)</f>
        <v>0</v>
      </c>
      <c r="O104" s="722" t="s">
        <v>507</v>
      </c>
      <c r="P104" s="723"/>
      <c r="Q104" s="723"/>
      <c r="R104" s="723"/>
    </row>
    <row r="105" spans="1:18" ht="12.95" customHeight="1">
      <c r="A105" s="679" t="str">
        <f>IF(UMYr2!A105&lt;&gt;"",UMYr2!A105,"")</f>
        <v/>
      </c>
      <c r="B105" s="85" t="str">
        <f>UMYr1!B105</f>
        <v/>
      </c>
      <c r="C105" s="680" t="str">
        <f>IF(UMYr1!C105="","",UMYr1!C105)</f>
        <v/>
      </c>
      <c r="D105" s="108">
        <f>Sponsor!F108</f>
        <v>0</v>
      </c>
      <c r="E105" s="9"/>
      <c r="F105" s="9"/>
      <c r="G105" s="9"/>
      <c r="H105" s="9"/>
      <c r="I105" s="9"/>
      <c r="J105" s="23">
        <f t="shared" si="34"/>
        <v>0</v>
      </c>
      <c r="K105" s="32">
        <f t="shared" si="35"/>
        <v>0</v>
      </c>
      <c r="L105" s="10"/>
      <c r="M105" s="9"/>
      <c r="N105" s="173">
        <f t="shared" si="36"/>
        <v>0</v>
      </c>
      <c r="O105" s="211" t="s">
        <v>508</v>
      </c>
      <c r="P105" s="721" t="s">
        <v>509</v>
      </c>
      <c r="Q105" s="721"/>
      <c r="R105" s="721"/>
    </row>
    <row r="106" spans="1:18" ht="12.95" customHeight="1">
      <c r="A106" s="679" t="str">
        <f>IF(UMYr2!A106&lt;&gt;"",UMYr2!A106,"")</f>
        <v/>
      </c>
      <c r="B106" s="85" t="str">
        <f>UMYr1!B106</f>
        <v/>
      </c>
      <c r="C106" s="680" t="str">
        <f>IF(UMYr1!C106="","",UMYr1!C106)</f>
        <v/>
      </c>
      <c r="D106" s="108">
        <f>Sponsor!F109</f>
        <v>0</v>
      </c>
      <c r="E106" s="9"/>
      <c r="F106" s="9"/>
      <c r="G106" s="9"/>
      <c r="H106" s="9"/>
      <c r="I106" s="9"/>
      <c r="J106" s="23">
        <f t="shared" si="34"/>
        <v>0</v>
      </c>
      <c r="K106" s="32">
        <f t="shared" si="35"/>
        <v>0</v>
      </c>
      <c r="L106" s="10"/>
      <c r="M106" s="9"/>
      <c r="N106" s="173">
        <f t="shared" si="36"/>
        <v>0</v>
      </c>
      <c r="O106" s="212">
        <v>62300</v>
      </c>
      <c r="P106" s="721" t="s">
        <v>510</v>
      </c>
      <c r="Q106" s="721"/>
      <c r="R106" s="721"/>
    </row>
    <row r="107" spans="1:18" ht="12.95" customHeight="1">
      <c r="A107" s="679" t="str">
        <f>IF(UMYr2!A107&lt;&gt;"",UMYr2!A107,"")</f>
        <v/>
      </c>
      <c r="B107" s="85" t="str">
        <f>UMYr1!B107</f>
        <v/>
      </c>
      <c r="C107" s="680" t="str">
        <f>IF(UMYr1!C107="","",UMYr1!C107)</f>
        <v/>
      </c>
      <c r="D107" s="108">
        <f>Sponsor!F110</f>
        <v>0</v>
      </c>
      <c r="E107" s="9"/>
      <c r="F107" s="9"/>
      <c r="G107" s="9"/>
      <c r="H107" s="9"/>
      <c r="I107" s="9"/>
      <c r="J107" s="23">
        <f t="shared" si="34"/>
        <v>0</v>
      </c>
      <c r="K107" s="32">
        <f t="shared" si="35"/>
        <v>0</v>
      </c>
      <c r="L107" s="10"/>
      <c r="M107" s="9"/>
      <c r="N107" s="173">
        <f t="shared" si="36"/>
        <v>0</v>
      </c>
      <c r="O107" s="211" t="s">
        <v>512</v>
      </c>
      <c r="P107" s="736" t="s">
        <v>513</v>
      </c>
      <c r="Q107" s="737"/>
      <c r="R107" s="737"/>
    </row>
    <row r="108" spans="1:18" ht="12.95" customHeight="1">
      <c r="A108" s="679" t="str">
        <f>IF(UMYr2!A108&lt;&gt;"",UMYr2!A108,"")</f>
        <v/>
      </c>
      <c r="B108" s="85" t="str">
        <f>UMYr1!B108</f>
        <v/>
      </c>
      <c r="C108" s="680" t="str">
        <f>IF(UMYr1!C108="","",UMYr1!C108)</f>
        <v/>
      </c>
      <c r="D108" s="108">
        <f>Sponsor!F111</f>
        <v>0</v>
      </c>
      <c r="E108" s="9"/>
      <c r="F108" s="9"/>
      <c r="G108" s="9"/>
      <c r="H108" s="9"/>
      <c r="I108" s="9"/>
      <c r="J108" s="23">
        <f t="shared" si="34"/>
        <v>0</v>
      </c>
      <c r="K108" s="32">
        <f t="shared" si="35"/>
        <v>0</v>
      </c>
      <c r="L108" s="10"/>
      <c r="M108" s="9"/>
      <c r="N108" s="173">
        <f t="shared" si="36"/>
        <v>0</v>
      </c>
      <c r="O108" s="211" t="s">
        <v>515</v>
      </c>
      <c r="P108" s="736" t="s">
        <v>516</v>
      </c>
      <c r="Q108" s="737"/>
      <c r="R108" s="737"/>
    </row>
    <row r="109" spans="1:18" ht="12.95" customHeight="1" thickBot="1">
      <c r="A109" s="5" t="str">
        <f>IF(UMYr2!A109&lt;&gt;"",UMYr2!A109,"")</f>
        <v/>
      </c>
      <c r="B109" s="982" t="s">
        <v>580</v>
      </c>
      <c r="C109" s="768"/>
      <c r="D109" s="71">
        <f>Sponsor!F112</f>
        <v>0</v>
      </c>
      <c r="E109" s="295">
        <f>SUM(E104:E108)</f>
        <v>0</v>
      </c>
      <c r="F109" s="295">
        <f>SUM(F104:F108)</f>
        <v>0</v>
      </c>
      <c r="G109" s="295">
        <f>SUM(G104:G108)</f>
        <v>0</v>
      </c>
      <c r="H109" s="295">
        <f>SUM(H104:H108)</f>
        <v>0</v>
      </c>
      <c r="I109" s="295">
        <f>SUM(I104:I108)</f>
        <v>0</v>
      </c>
      <c r="J109" s="295">
        <f t="shared" si="34"/>
        <v>0</v>
      </c>
      <c r="K109" s="71">
        <f t="shared" si="35"/>
        <v>0</v>
      </c>
      <c r="L109" s="295">
        <f>SUM(L104:L108)</f>
        <v>0</v>
      </c>
      <c r="M109" s="295">
        <f>SUM(M104:M108)</f>
        <v>0</v>
      </c>
      <c r="N109" s="79">
        <f t="shared" si="36"/>
        <v>0</v>
      </c>
      <c r="O109" s="237"/>
      <c r="P109" s="237"/>
    </row>
    <row r="110" spans="1:18" ht="12.95" customHeight="1">
      <c r="A110" s="5" t="str">
        <f>IF(UMYr2!A110&lt;&gt;"",UMYr2!A110,"")</f>
        <v/>
      </c>
      <c r="B110" s="980" t="str">
        <f>IF(UMYr1!B110="","",UMYr1!B110)</f>
        <v>OTHER DIRECT COSTS - descriptions and account codes must be entered in Sponsor tab</v>
      </c>
      <c r="C110" s="948" t="str">
        <f>IF(UMYr1!C110="","",UMYr1!C110)</f>
        <v/>
      </c>
      <c r="D110" s="948" t="str">
        <f>IF(UMYr1!D110="","",UMYr1!D110)</f>
        <v/>
      </c>
      <c r="E110" s="948" t="str">
        <f>IF(UMYr1!E110="","",UMYr1!E110)</f>
        <v/>
      </c>
      <c r="F110" s="948" t="str">
        <f>IF(UMYr1!F110="","",UMYr1!F110)</f>
        <v/>
      </c>
      <c r="G110" s="948" t="str">
        <f>IF(UMYr1!G110="","",UMYr1!G110)</f>
        <v/>
      </c>
      <c r="H110" s="948" t="str">
        <f>IF(UMYr1!H110="","",UMYr1!H110)</f>
        <v/>
      </c>
      <c r="I110" s="948" t="str">
        <f>IF(UMYr1!I110="","",UMYr1!I110)</f>
        <v/>
      </c>
      <c r="J110" s="1064" t="str">
        <f>IF(UMYr1!J110="","",UMYr1!J110)</f>
        <v/>
      </c>
      <c r="K110" s="1064" t="str">
        <f>IF(UMYr1!K110="","",UMYr1!K110)</f>
        <v/>
      </c>
      <c r="L110" s="1064" t="str">
        <f>IF(UMYr1!L110="","",UMYr1!L110)</f>
        <v/>
      </c>
      <c r="M110" s="1064" t="str">
        <f>IF(UMYr1!M110="","",UMYr1!M110)</f>
        <v/>
      </c>
      <c r="N110" s="1065" t="str">
        <f>IF(UMYr1!N110="","",UMYr1!N110)</f>
        <v/>
      </c>
      <c r="O110" s="237"/>
      <c r="P110" s="237"/>
    </row>
    <row r="111" spans="1:18" ht="12.95" customHeight="1">
      <c r="A111" s="679">
        <f>IF(UMYr2!A111&lt;&gt;"",UMYr2!A111,"")</f>
        <v>60900</v>
      </c>
      <c r="B111" s="147" t="str">
        <f>UMYr1!B111</f>
        <v/>
      </c>
      <c r="C111" s="139" t="str">
        <f>IF(UMYr1!C111="","",UMYr1!C111)</f>
        <v>Publications</v>
      </c>
      <c r="D111" s="108">
        <f>Sponsor!F115</f>
        <v>0</v>
      </c>
      <c r="E111" s="9"/>
      <c r="F111" s="9"/>
      <c r="G111" s="9"/>
      <c r="H111" s="9"/>
      <c r="I111" s="9"/>
      <c r="J111" s="297">
        <f>SUM(E111:I111)</f>
        <v>0</v>
      </c>
      <c r="K111" s="32">
        <f>D111+J111</f>
        <v>0</v>
      </c>
      <c r="L111" s="9"/>
      <c r="M111" s="9"/>
      <c r="N111" s="173">
        <f>SUM(K111:M111)</f>
        <v>0</v>
      </c>
    </row>
    <row r="112" spans="1:18">
      <c r="A112" s="679" t="str">
        <f>IF(UMYr2!A112&lt;&gt;"",UMYr2!A112,"")</f>
        <v/>
      </c>
      <c r="B112" s="85" t="str">
        <f>UMYr1!B112</f>
        <v/>
      </c>
      <c r="C112" s="680" t="str">
        <f>IF(UMYr1!C112="","",UMYr1!C112)</f>
        <v/>
      </c>
      <c r="D112" s="108">
        <f>Sponsor!F116</f>
        <v>0</v>
      </c>
      <c r="E112" s="9"/>
      <c r="F112" s="9"/>
      <c r="G112" s="9"/>
      <c r="H112" s="9"/>
      <c r="I112" s="9"/>
      <c r="J112" s="297">
        <f>SUM(E112:I112)</f>
        <v>0</v>
      </c>
      <c r="K112" s="32">
        <f>D112+J112</f>
        <v>0</v>
      </c>
      <c r="L112" s="9"/>
      <c r="M112" s="9"/>
      <c r="N112" s="173">
        <f>SUM(K112:M112)</f>
        <v>0</v>
      </c>
    </row>
    <row r="113" spans="1:15">
      <c r="A113" s="679" t="str">
        <f>IF(UMYr2!A113&lt;&gt;"",UMYr2!A113,"")</f>
        <v/>
      </c>
      <c r="B113" s="85" t="str">
        <f>UMYr1!B113</f>
        <v/>
      </c>
      <c r="C113" s="680" t="str">
        <f>IF(UMYr1!C113="","",UMYr1!C113)</f>
        <v/>
      </c>
      <c r="D113" s="108">
        <f>Sponsor!F117</f>
        <v>0</v>
      </c>
      <c r="E113" s="9"/>
      <c r="F113" s="9"/>
      <c r="G113" s="9"/>
      <c r="H113" s="9"/>
      <c r="I113" s="9"/>
      <c r="J113" s="297">
        <f>SUM(E113:I113)</f>
        <v>0</v>
      </c>
      <c r="K113" s="32">
        <f>D113+J113</f>
        <v>0</v>
      </c>
      <c r="L113" s="9"/>
      <c r="M113" s="9"/>
      <c r="N113" s="173">
        <f>SUM(K113:M113)</f>
        <v>0</v>
      </c>
    </row>
    <row r="114" spans="1:15">
      <c r="A114" s="679" t="str">
        <f>IF(UMYr2!A114&lt;&gt;"",UMYr2!A114,"")</f>
        <v/>
      </c>
      <c r="B114" s="147" t="str">
        <f>IF(UMYr2!B114="","",UMYr2!B114)</f>
        <v/>
      </c>
      <c r="C114" s="139" t="str">
        <f>IF(UMYr2!C114="","",UMYr2!C114)</f>
        <v/>
      </c>
      <c r="D114" s="106">
        <f>Sponsor!F118</f>
        <v>0</v>
      </c>
      <c r="E114" s="8"/>
      <c r="F114" s="8"/>
      <c r="G114" s="8"/>
      <c r="H114" s="8"/>
      <c r="I114" s="8"/>
      <c r="J114" s="11">
        <f t="shared" ref="J114:J119" si="37">SUM(E114:I114)</f>
        <v>0</v>
      </c>
      <c r="K114" s="32">
        <f t="shared" ref="K114:K119" si="38">D114+J114</f>
        <v>0</v>
      </c>
      <c r="L114" s="88"/>
      <c r="M114" s="88"/>
      <c r="N114" s="78">
        <f t="shared" ref="N114:N119" si="39">K114+SUM(L114:M114)</f>
        <v>0</v>
      </c>
    </row>
    <row r="115" spans="1:15">
      <c r="A115" s="679" t="str">
        <f>IF(UMYr2!A115&lt;&gt;"",UMYr2!A115,"")</f>
        <v/>
      </c>
      <c r="B115" s="85" t="str">
        <f>IF(UMYr2!B115="","",UMYr2!B115)</f>
        <v/>
      </c>
      <c r="C115" s="680" t="str">
        <f>IF(UMYr2!C115="","",UMYr2!C115)</f>
        <v/>
      </c>
      <c r="D115" s="106">
        <f>Sponsor!F119</f>
        <v>0</v>
      </c>
      <c r="E115" s="8"/>
      <c r="F115" s="8"/>
      <c r="G115" s="8"/>
      <c r="H115" s="8"/>
      <c r="I115" s="8"/>
      <c r="J115" s="11">
        <f t="shared" si="37"/>
        <v>0</v>
      </c>
      <c r="K115" s="32">
        <f t="shared" si="38"/>
        <v>0</v>
      </c>
      <c r="L115" s="88"/>
      <c r="M115" s="88"/>
      <c r="N115" s="78">
        <f t="shared" si="39"/>
        <v>0</v>
      </c>
    </row>
    <row r="116" spans="1:15">
      <c r="A116" s="679" t="str">
        <f>IF(UMYr2!A116&lt;&gt;"",UMYr2!A116,"")</f>
        <v/>
      </c>
      <c r="B116" s="85" t="str">
        <f>IF(UMYr2!B116="","",UMYr2!B116)</f>
        <v/>
      </c>
      <c r="C116" s="680" t="str">
        <f>IF(UMYr2!C116="","",UMYr2!C116)</f>
        <v/>
      </c>
      <c r="D116" s="106">
        <f>Sponsor!F120</f>
        <v>0</v>
      </c>
      <c r="E116" s="8"/>
      <c r="F116" s="8"/>
      <c r="G116" s="8"/>
      <c r="H116" s="8"/>
      <c r="I116" s="8"/>
      <c r="J116" s="11">
        <f t="shared" si="37"/>
        <v>0</v>
      </c>
      <c r="K116" s="32">
        <f t="shared" si="38"/>
        <v>0</v>
      </c>
      <c r="L116" s="88"/>
      <c r="M116" s="88"/>
      <c r="N116" s="78">
        <f t="shared" si="39"/>
        <v>0</v>
      </c>
    </row>
    <row r="117" spans="1:15">
      <c r="A117" s="679" t="str">
        <f>IF(UMYr2!A117&lt;&gt;"",UMYr2!A117,"")</f>
        <v/>
      </c>
      <c r="B117" s="85" t="str">
        <f>IF(UMYr2!B117="","",UMYr2!B117)</f>
        <v/>
      </c>
      <c r="C117" s="680" t="str">
        <f>IF(UMYr2!C117="","",UMYr2!C117)</f>
        <v/>
      </c>
      <c r="D117" s="106">
        <f>Sponsor!F121</f>
        <v>0</v>
      </c>
      <c r="E117" s="8"/>
      <c r="F117" s="8"/>
      <c r="G117" s="8"/>
      <c r="H117" s="8"/>
      <c r="I117" s="8"/>
      <c r="J117" s="11">
        <f t="shared" si="37"/>
        <v>0</v>
      </c>
      <c r="K117" s="32">
        <f t="shared" si="38"/>
        <v>0</v>
      </c>
      <c r="L117" s="88"/>
      <c r="M117" s="88"/>
      <c r="N117" s="78">
        <f t="shared" si="39"/>
        <v>0</v>
      </c>
    </row>
    <row r="118" spans="1:15">
      <c r="A118" s="679" t="str">
        <f>IF(UMYr2!A118&lt;&gt;"",UMYr2!A118,"")</f>
        <v/>
      </c>
      <c r="B118" s="85" t="str">
        <f>IF(UMYr2!B118="","",UMYr2!B118)</f>
        <v/>
      </c>
      <c r="C118" s="680" t="str">
        <f>IF(UMYr2!C118="","",UMYr2!C118)</f>
        <v/>
      </c>
      <c r="D118" s="106">
        <f>Sponsor!F122</f>
        <v>0</v>
      </c>
      <c r="E118" s="8"/>
      <c r="F118" s="8"/>
      <c r="G118" s="8"/>
      <c r="H118" s="8"/>
      <c r="I118" s="8"/>
      <c r="J118" s="11">
        <f t="shared" si="37"/>
        <v>0</v>
      </c>
      <c r="K118" s="32">
        <f t="shared" si="38"/>
        <v>0</v>
      </c>
      <c r="L118" s="88"/>
      <c r="M118" s="88"/>
      <c r="N118" s="78">
        <f t="shared" si="39"/>
        <v>0</v>
      </c>
    </row>
    <row r="119" spans="1:15">
      <c r="A119" s="679" t="str">
        <f>IF(UMYr2!A119&lt;&gt;"",UMYr2!A119,"")</f>
        <v/>
      </c>
      <c r="B119" s="85" t="str">
        <f>IF(UMYr2!B119="","",UMYr2!B119)</f>
        <v/>
      </c>
      <c r="C119" s="680" t="str">
        <f>IF(UMYr2!C119="","",UMYr2!C119)</f>
        <v/>
      </c>
      <c r="D119" s="298">
        <f>Sponsor!F123</f>
        <v>0</v>
      </c>
      <c r="E119" s="8"/>
      <c r="F119" s="8"/>
      <c r="G119" s="8"/>
      <c r="H119" s="8"/>
      <c r="I119" s="8"/>
      <c r="J119" s="299">
        <f t="shared" si="37"/>
        <v>0</v>
      </c>
      <c r="K119" s="298">
        <f t="shared" si="38"/>
        <v>0</v>
      </c>
      <c r="L119" s="88"/>
      <c r="M119" s="88"/>
      <c r="N119" s="94">
        <f t="shared" si="39"/>
        <v>0</v>
      </c>
    </row>
    <row r="120" spans="1:15" ht="13.5" thickBot="1">
      <c r="A120" s="226" t="str">
        <f>IF(UMYr2!A120&lt;&gt;"",UMYr2!A120,"")</f>
        <v/>
      </c>
      <c r="B120" s="981" t="s">
        <v>584</v>
      </c>
      <c r="C120" s="1067"/>
      <c r="D120" s="638">
        <f>Sponsor!F124</f>
        <v>0</v>
      </c>
      <c r="E120" s="99">
        <f t="shared" ref="E120:N120" si="40">SUM(E111:E119)</f>
        <v>0</v>
      </c>
      <c r="F120" s="128">
        <f t="shared" si="40"/>
        <v>0</v>
      </c>
      <c r="G120" s="128">
        <f t="shared" si="40"/>
        <v>0</v>
      </c>
      <c r="H120" s="128">
        <f t="shared" si="40"/>
        <v>0</v>
      </c>
      <c r="I120" s="128">
        <f t="shared" si="40"/>
        <v>0</v>
      </c>
      <c r="J120" s="300">
        <f t="shared" si="40"/>
        <v>0</v>
      </c>
      <c r="K120" s="638">
        <f t="shared" si="40"/>
        <v>0</v>
      </c>
      <c r="L120" s="99">
        <f t="shared" si="40"/>
        <v>0</v>
      </c>
      <c r="M120" s="300">
        <f t="shared" si="40"/>
        <v>0</v>
      </c>
      <c r="N120" s="329">
        <f t="shared" si="40"/>
        <v>0</v>
      </c>
    </row>
    <row r="121" spans="1:15">
      <c r="A121" s="156"/>
      <c r="B121" s="84" t="str">
        <f>IF(UMYr1!B121="","",UMYr1!B121)</f>
        <v>SUBRECIPIENT DETAIL - Subrecipient organizations and account codes must be entered in Sponsor tab</v>
      </c>
      <c r="C121" s="227"/>
      <c r="D121" s="227"/>
      <c r="E121" s="227"/>
      <c r="F121" s="227"/>
      <c r="G121" s="227"/>
      <c r="H121" s="227"/>
      <c r="I121" s="227"/>
      <c r="J121" s="227"/>
      <c r="K121" s="227"/>
      <c r="L121" s="227"/>
      <c r="M121" s="227"/>
      <c r="N121" s="228"/>
    </row>
    <row r="122" spans="1:15">
      <c r="A122" s="156"/>
      <c r="B122" s="301"/>
      <c r="C122" s="302" t="s">
        <v>589</v>
      </c>
      <c r="D122" s="240"/>
      <c r="E122" s="28"/>
      <c r="F122" s="28"/>
      <c r="G122" s="28"/>
      <c r="H122" s="28"/>
      <c r="I122" s="28"/>
      <c r="J122" s="28"/>
      <c r="K122" s="28"/>
      <c r="L122" s="28"/>
      <c r="M122" s="28"/>
      <c r="N122" s="241"/>
    </row>
    <row r="123" spans="1:15">
      <c r="A123" s="156"/>
      <c r="B123" s="115" t="str">
        <f>Sponsor!B127</f>
        <v>01</v>
      </c>
      <c r="C123" s="677" t="str">
        <f>IF(Sponsor!C127="","",Sponsor!C127)</f>
        <v/>
      </c>
      <c r="D123" s="638">
        <f>Sponsor!F127</f>
        <v>0</v>
      </c>
      <c r="E123" s="686"/>
      <c r="F123" s="686"/>
      <c r="G123" s="686"/>
      <c r="H123" s="686"/>
      <c r="I123" s="686"/>
      <c r="J123" s="638">
        <f>SUM(E123:I123)</f>
        <v>0</v>
      </c>
      <c r="K123" s="638">
        <f>D123+J123</f>
        <v>0</v>
      </c>
      <c r="L123" s="686"/>
      <c r="M123" s="686"/>
      <c r="N123" s="167">
        <f>D123+ J123 +L123+M123</f>
        <v>0</v>
      </c>
    </row>
    <row r="124" spans="1:15">
      <c r="A124" s="679">
        <f>Sponsor!A128</f>
        <v>60250</v>
      </c>
      <c r="B124" s="148"/>
      <c r="C124" s="102" t="str">
        <f>Sponsor!C128</f>
        <v>Less than $25K</v>
      </c>
      <c r="D124" s="124">
        <f>Sponsor!F128</f>
        <v>0</v>
      </c>
      <c r="E124" s="892" t="s">
        <v>679</v>
      </c>
      <c r="F124" s="920"/>
      <c r="G124" s="920"/>
      <c r="H124" s="920"/>
      <c r="I124" s="921"/>
      <c r="J124" s="673">
        <f>UMYr1!AB122</f>
        <v>0</v>
      </c>
      <c r="K124" s="673">
        <f t="shared" ref="K124:K182" si="41">D124+J124</f>
        <v>0</v>
      </c>
      <c r="L124" s="892" t="s">
        <v>679</v>
      </c>
      <c r="M124" s="957"/>
      <c r="N124" s="330">
        <f>K124</f>
        <v>0</v>
      </c>
      <c r="O124" s="303">
        <v>60250</v>
      </c>
    </row>
    <row r="125" spans="1:15">
      <c r="A125" s="679">
        <f>Sponsor!A129</f>
        <v>60270</v>
      </c>
      <c r="B125" s="149"/>
      <c r="C125" s="102" t="str">
        <f>Sponsor!C129</f>
        <v>Greater than $25K</v>
      </c>
      <c r="D125" s="125">
        <f>Sponsor!F129</f>
        <v>0</v>
      </c>
      <c r="E125" s="922"/>
      <c r="F125" s="923"/>
      <c r="G125" s="923"/>
      <c r="H125" s="923"/>
      <c r="I125" s="924"/>
      <c r="J125" s="673">
        <f>J123-J124</f>
        <v>0</v>
      </c>
      <c r="K125" s="673">
        <f t="shared" si="41"/>
        <v>0</v>
      </c>
      <c r="L125" s="958"/>
      <c r="M125" s="959"/>
      <c r="N125" s="330">
        <f>K125</f>
        <v>0</v>
      </c>
      <c r="O125" s="303">
        <v>60270</v>
      </c>
    </row>
    <row r="126" spans="1:15">
      <c r="A126" s="156"/>
      <c r="B126" s="115" t="str">
        <f>Sponsor!B130</f>
        <v>02</v>
      </c>
      <c r="C126" s="677" t="str">
        <f>IF(Sponsor!C130="","",Sponsor!C130)</f>
        <v/>
      </c>
      <c r="D126" s="638">
        <f>Sponsor!F130</f>
        <v>0</v>
      </c>
      <c r="E126" s="686"/>
      <c r="F126" s="686"/>
      <c r="G126" s="686"/>
      <c r="H126" s="686"/>
      <c r="I126" s="686"/>
      <c r="J126" s="638">
        <f>SUM(E126:I126)</f>
        <v>0</v>
      </c>
      <c r="K126" s="638">
        <f t="shared" si="41"/>
        <v>0</v>
      </c>
      <c r="L126" s="686"/>
      <c r="M126" s="686"/>
      <c r="N126" s="167">
        <f>D126+L126+M126</f>
        <v>0</v>
      </c>
      <c r="O126" s="304"/>
    </row>
    <row r="127" spans="1:15">
      <c r="A127" s="679">
        <f>Sponsor!A131</f>
        <v>60250</v>
      </c>
      <c r="B127" s="148"/>
      <c r="C127" s="102" t="str">
        <f>Sponsor!C131</f>
        <v>Less than $25K</v>
      </c>
      <c r="D127" s="124">
        <f>Sponsor!F131</f>
        <v>0</v>
      </c>
      <c r="E127" s="892" t="s">
        <v>679</v>
      </c>
      <c r="F127" s="920"/>
      <c r="G127" s="920"/>
      <c r="H127" s="920"/>
      <c r="I127" s="921"/>
      <c r="J127" s="673">
        <f>UMYr1!AB123</f>
        <v>0</v>
      </c>
      <c r="K127" s="673">
        <f t="shared" si="41"/>
        <v>0</v>
      </c>
      <c r="L127" s="892" t="s">
        <v>679</v>
      </c>
      <c r="M127" s="957"/>
      <c r="N127" s="168">
        <f>K127</f>
        <v>0</v>
      </c>
      <c r="O127" s="303">
        <v>60250</v>
      </c>
    </row>
    <row r="128" spans="1:15">
      <c r="A128" s="679">
        <f>Sponsor!A132</f>
        <v>60270</v>
      </c>
      <c r="B128" s="149"/>
      <c r="C128" s="102" t="str">
        <f>Sponsor!C132</f>
        <v>Greater than $25K</v>
      </c>
      <c r="D128" s="125">
        <f>Sponsor!F132</f>
        <v>0</v>
      </c>
      <c r="E128" s="922"/>
      <c r="F128" s="923"/>
      <c r="G128" s="923"/>
      <c r="H128" s="923"/>
      <c r="I128" s="924"/>
      <c r="J128" s="673">
        <f>J126-J127</f>
        <v>0</v>
      </c>
      <c r="K128" s="673">
        <f t="shared" si="41"/>
        <v>0</v>
      </c>
      <c r="L128" s="958"/>
      <c r="M128" s="959"/>
      <c r="N128" s="169">
        <f>K128</f>
        <v>0</v>
      </c>
      <c r="O128" s="303">
        <v>60270</v>
      </c>
    </row>
    <row r="129" spans="1:15">
      <c r="A129" s="156"/>
      <c r="B129" s="115" t="str">
        <f>Sponsor!B133</f>
        <v>03</v>
      </c>
      <c r="C129" s="677" t="str">
        <f>IF(Sponsor!C133="","",Sponsor!C133)</f>
        <v/>
      </c>
      <c r="D129" s="638">
        <f>Sponsor!F133</f>
        <v>0</v>
      </c>
      <c r="E129" s="686"/>
      <c r="F129" s="686"/>
      <c r="G129" s="686"/>
      <c r="H129" s="686"/>
      <c r="I129" s="686"/>
      <c r="J129" s="638">
        <f>SUM(E129:I129)</f>
        <v>0</v>
      </c>
      <c r="K129" s="638">
        <f t="shared" si="41"/>
        <v>0</v>
      </c>
      <c r="L129" s="686"/>
      <c r="M129" s="686"/>
      <c r="N129" s="167">
        <f>D129+L129+M129</f>
        <v>0</v>
      </c>
      <c r="O129" s="304"/>
    </row>
    <row r="130" spans="1:15">
      <c r="A130" s="679">
        <f>Sponsor!A134</f>
        <v>60250</v>
      </c>
      <c r="B130" s="148"/>
      <c r="C130" s="102" t="str">
        <f>Sponsor!C134</f>
        <v>Less than $25K</v>
      </c>
      <c r="D130" s="124">
        <f>Sponsor!F134</f>
        <v>0</v>
      </c>
      <c r="E130" s="892" t="s">
        <v>679</v>
      </c>
      <c r="F130" s="920"/>
      <c r="G130" s="920"/>
      <c r="H130" s="920"/>
      <c r="I130" s="921"/>
      <c r="J130" s="673">
        <f>UMYr1!AB124</f>
        <v>0</v>
      </c>
      <c r="K130" s="673">
        <f t="shared" si="41"/>
        <v>0</v>
      </c>
      <c r="L130" s="892" t="s">
        <v>679</v>
      </c>
      <c r="M130" s="957"/>
      <c r="N130" s="168">
        <f>K130</f>
        <v>0</v>
      </c>
      <c r="O130" s="303">
        <v>60250</v>
      </c>
    </row>
    <row r="131" spans="1:15">
      <c r="A131" s="679">
        <f>Sponsor!A135</f>
        <v>60270</v>
      </c>
      <c r="B131" s="149"/>
      <c r="C131" s="102" t="str">
        <f>Sponsor!C135</f>
        <v>Greater than $25K</v>
      </c>
      <c r="D131" s="125">
        <f>Sponsor!F135</f>
        <v>0</v>
      </c>
      <c r="E131" s="922"/>
      <c r="F131" s="923"/>
      <c r="G131" s="923"/>
      <c r="H131" s="923"/>
      <c r="I131" s="924"/>
      <c r="J131" s="673">
        <f>J129-J130</f>
        <v>0</v>
      </c>
      <c r="K131" s="673">
        <f t="shared" si="41"/>
        <v>0</v>
      </c>
      <c r="L131" s="958"/>
      <c r="M131" s="959"/>
      <c r="N131" s="169">
        <f>K131</f>
        <v>0</v>
      </c>
      <c r="O131" s="303">
        <v>60270</v>
      </c>
    </row>
    <row r="132" spans="1:15">
      <c r="A132" s="156"/>
      <c r="B132" s="115" t="str">
        <f>Sponsor!B136</f>
        <v>04</v>
      </c>
      <c r="C132" s="677" t="str">
        <f>IF(Sponsor!C136="","",Sponsor!C136)</f>
        <v/>
      </c>
      <c r="D132" s="638">
        <f>Sponsor!F136</f>
        <v>0</v>
      </c>
      <c r="E132" s="686"/>
      <c r="F132" s="686"/>
      <c r="G132" s="686"/>
      <c r="H132" s="686"/>
      <c r="I132" s="686"/>
      <c r="J132" s="638">
        <f>SUM(E132:I132)</f>
        <v>0</v>
      </c>
      <c r="K132" s="638">
        <f t="shared" si="41"/>
        <v>0</v>
      </c>
      <c r="L132" s="686"/>
      <c r="M132" s="686"/>
      <c r="N132" s="167">
        <f>D132+L132+M132</f>
        <v>0</v>
      </c>
      <c r="O132" s="304"/>
    </row>
    <row r="133" spans="1:15">
      <c r="A133" s="679">
        <f>Sponsor!A137</f>
        <v>60250</v>
      </c>
      <c r="B133" s="148"/>
      <c r="C133" s="102" t="str">
        <f>Sponsor!C137</f>
        <v>Less than $25K</v>
      </c>
      <c r="D133" s="124">
        <f>Sponsor!F137</f>
        <v>0</v>
      </c>
      <c r="E133" s="892" t="s">
        <v>679</v>
      </c>
      <c r="F133" s="920"/>
      <c r="G133" s="920"/>
      <c r="H133" s="920"/>
      <c r="I133" s="921"/>
      <c r="J133" s="673">
        <f>UMYr1!AB125</f>
        <v>0</v>
      </c>
      <c r="K133" s="673">
        <f t="shared" si="41"/>
        <v>0</v>
      </c>
      <c r="L133" s="892" t="s">
        <v>679</v>
      </c>
      <c r="M133" s="957"/>
      <c r="N133" s="168">
        <f>K133</f>
        <v>0</v>
      </c>
      <c r="O133" s="303">
        <v>60250</v>
      </c>
    </row>
    <row r="134" spans="1:15">
      <c r="A134" s="679">
        <f>Sponsor!A138</f>
        <v>60270</v>
      </c>
      <c r="B134" s="149"/>
      <c r="C134" s="102" t="str">
        <f>Sponsor!C138</f>
        <v>Greater than $25K</v>
      </c>
      <c r="D134" s="125">
        <f>Sponsor!F138</f>
        <v>0</v>
      </c>
      <c r="E134" s="922"/>
      <c r="F134" s="923"/>
      <c r="G134" s="923"/>
      <c r="H134" s="923"/>
      <c r="I134" s="924"/>
      <c r="J134" s="673">
        <f>J132-J133</f>
        <v>0</v>
      </c>
      <c r="K134" s="673">
        <f t="shared" si="41"/>
        <v>0</v>
      </c>
      <c r="L134" s="958"/>
      <c r="M134" s="959"/>
      <c r="N134" s="169">
        <f>K134</f>
        <v>0</v>
      </c>
      <c r="O134" s="303">
        <v>60270</v>
      </c>
    </row>
    <row r="135" spans="1:15">
      <c r="A135" s="156"/>
      <c r="B135" s="115" t="str">
        <f>Sponsor!B139</f>
        <v>05</v>
      </c>
      <c r="C135" s="677" t="str">
        <f>IF(Sponsor!C139="","",Sponsor!C139)</f>
        <v/>
      </c>
      <c r="D135" s="638">
        <f>Sponsor!F139</f>
        <v>0</v>
      </c>
      <c r="E135" s="686"/>
      <c r="F135" s="686"/>
      <c r="G135" s="686"/>
      <c r="H135" s="686"/>
      <c r="I135" s="686"/>
      <c r="J135" s="638">
        <f>SUM(E135:I135)</f>
        <v>0</v>
      </c>
      <c r="K135" s="638">
        <f t="shared" si="41"/>
        <v>0</v>
      </c>
      <c r="L135" s="686"/>
      <c r="M135" s="686"/>
      <c r="N135" s="167">
        <f>D135+L135+M135</f>
        <v>0</v>
      </c>
      <c r="O135" s="304"/>
    </row>
    <row r="136" spans="1:15">
      <c r="A136" s="679">
        <f>Sponsor!A140</f>
        <v>60250</v>
      </c>
      <c r="B136" s="148"/>
      <c r="C136" s="102" t="str">
        <f>Sponsor!C140</f>
        <v>Less than $25K</v>
      </c>
      <c r="D136" s="124">
        <f>Sponsor!F140</f>
        <v>0</v>
      </c>
      <c r="E136" s="892" t="s">
        <v>679</v>
      </c>
      <c r="F136" s="920"/>
      <c r="G136" s="920"/>
      <c r="H136" s="920"/>
      <c r="I136" s="921"/>
      <c r="J136" s="673">
        <f>UMYr1!AB126</f>
        <v>0</v>
      </c>
      <c r="K136" s="673">
        <f t="shared" si="41"/>
        <v>0</v>
      </c>
      <c r="L136" s="892" t="s">
        <v>679</v>
      </c>
      <c r="M136" s="957"/>
      <c r="N136" s="168">
        <f>K136</f>
        <v>0</v>
      </c>
      <c r="O136" s="303">
        <v>60250</v>
      </c>
    </row>
    <row r="137" spans="1:15">
      <c r="A137" s="679">
        <f>Sponsor!A141</f>
        <v>60270</v>
      </c>
      <c r="B137" s="149"/>
      <c r="C137" s="102" t="str">
        <f>Sponsor!C141</f>
        <v>Greater than $25K</v>
      </c>
      <c r="D137" s="125">
        <f>Sponsor!F141</f>
        <v>0</v>
      </c>
      <c r="E137" s="922"/>
      <c r="F137" s="923"/>
      <c r="G137" s="923"/>
      <c r="H137" s="923"/>
      <c r="I137" s="924"/>
      <c r="J137" s="673">
        <f>J135-J136</f>
        <v>0</v>
      </c>
      <c r="K137" s="673">
        <f t="shared" si="41"/>
        <v>0</v>
      </c>
      <c r="L137" s="958"/>
      <c r="M137" s="959"/>
      <c r="N137" s="169">
        <f>K137</f>
        <v>0</v>
      </c>
      <c r="O137" s="303">
        <v>60270</v>
      </c>
    </row>
    <row r="138" spans="1:15">
      <c r="A138" s="156"/>
      <c r="B138" s="115" t="str">
        <f>Sponsor!B142</f>
        <v>06</v>
      </c>
      <c r="C138" s="677" t="str">
        <f>IF(Sponsor!C142="","",Sponsor!C142)</f>
        <v/>
      </c>
      <c r="D138" s="638">
        <f>Sponsor!F142</f>
        <v>0</v>
      </c>
      <c r="E138" s="686"/>
      <c r="F138" s="686"/>
      <c r="G138" s="686"/>
      <c r="H138" s="686"/>
      <c r="I138" s="686"/>
      <c r="J138" s="638">
        <f>SUM(E138:I138)</f>
        <v>0</v>
      </c>
      <c r="K138" s="638">
        <f t="shared" si="41"/>
        <v>0</v>
      </c>
      <c r="L138" s="686"/>
      <c r="M138" s="686"/>
      <c r="N138" s="167">
        <f>D138+L138+M138</f>
        <v>0</v>
      </c>
      <c r="O138" s="304"/>
    </row>
    <row r="139" spans="1:15">
      <c r="A139" s="679">
        <f>Sponsor!A143</f>
        <v>60250</v>
      </c>
      <c r="B139" s="148"/>
      <c r="C139" s="102" t="str">
        <f>Sponsor!C143</f>
        <v>Less than $25K</v>
      </c>
      <c r="D139" s="124">
        <f>Sponsor!F143</f>
        <v>0</v>
      </c>
      <c r="E139" s="892" t="s">
        <v>679</v>
      </c>
      <c r="F139" s="920"/>
      <c r="G139" s="920"/>
      <c r="H139" s="920"/>
      <c r="I139" s="921"/>
      <c r="J139" s="673">
        <f>UMYr1!AB127</f>
        <v>0</v>
      </c>
      <c r="K139" s="673">
        <f t="shared" si="41"/>
        <v>0</v>
      </c>
      <c r="L139" s="892" t="s">
        <v>679</v>
      </c>
      <c r="M139" s="957"/>
      <c r="N139" s="168">
        <f>K139</f>
        <v>0</v>
      </c>
      <c r="O139" s="303">
        <v>60250</v>
      </c>
    </row>
    <row r="140" spans="1:15">
      <c r="A140" s="679">
        <f>Sponsor!A144</f>
        <v>60270</v>
      </c>
      <c r="B140" s="149"/>
      <c r="C140" s="102" t="str">
        <f>Sponsor!C144</f>
        <v>Greater than $25K</v>
      </c>
      <c r="D140" s="125">
        <f>Sponsor!F144</f>
        <v>0</v>
      </c>
      <c r="E140" s="922"/>
      <c r="F140" s="923"/>
      <c r="G140" s="923"/>
      <c r="H140" s="923"/>
      <c r="I140" s="924"/>
      <c r="J140" s="673">
        <f>J138-J139</f>
        <v>0</v>
      </c>
      <c r="K140" s="673">
        <f t="shared" si="41"/>
        <v>0</v>
      </c>
      <c r="L140" s="958"/>
      <c r="M140" s="959"/>
      <c r="N140" s="169">
        <f>K140</f>
        <v>0</v>
      </c>
      <c r="O140" s="303">
        <v>60270</v>
      </c>
    </row>
    <row r="141" spans="1:15">
      <c r="A141" s="156"/>
      <c r="B141" s="115" t="str">
        <f>Sponsor!B145</f>
        <v>07</v>
      </c>
      <c r="C141" s="677" t="str">
        <f>IF(Sponsor!C145="","",Sponsor!C145)</f>
        <v/>
      </c>
      <c r="D141" s="638">
        <f>Sponsor!F145</f>
        <v>0</v>
      </c>
      <c r="E141" s="686"/>
      <c r="F141" s="686"/>
      <c r="G141" s="686"/>
      <c r="H141" s="686"/>
      <c r="I141" s="686"/>
      <c r="J141" s="638">
        <f>SUM(E141:I141)</f>
        <v>0</v>
      </c>
      <c r="K141" s="638">
        <f t="shared" si="41"/>
        <v>0</v>
      </c>
      <c r="L141" s="686"/>
      <c r="M141" s="686"/>
      <c r="N141" s="167">
        <f>D141+L141+M141</f>
        <v>0</v>
      </c>
      <c r="O141" s="304"/>
    </row>
    <row r="142" spans="1:15">
      <c r="A142" s="679">
        <f>Sponsor!A146</f>
        <v>60250</v>
      </c>
      <c r="B142" s="148"/>
      <c r="C142" s="102" t="str">
        <f>Sponsor!C146</f>
        <v>Less than $25K</v>
      </c>
      <c r="D142" s="124">
        <f>Sponsor!F146</f>
        <v>0</v>
      </c>
      <c r="E142" s="892" t="s">
        <v>679</v>
      </c>
      <c r="F142" s="920"/>
      <c r="G142" s="920"/>
      <c r="H142" s="920"/>
      <c r="I142" s="921"/>
      <c r="J142" s="673">
        <f>UMYr1!AB128</f>
        <v>0</v>
      </c>
      <c r="K142" s="673">
        <f t="shared" si="41"/>
        <v>0</v>
      </c>
      <c r="L142" s="892" t="s">
        <v>679</v>
      </c>
      <c r="M142" s="957"/>
      <c r="N142" s="168">
        <f>K142</f>
        <v>0</v>
      </c>
      <c r="O142" s="303">
        <v>60250</v>
      </c>
    </row>
    <row r="143" spans="1:15">
      <c r="A143" s="679">
        <f>Sponsor!A147</f>
        <v>60270</v>
      </c>
      <c r="B143" s="149"/>
      <c r="C143" s="102" t="str">
        <f>Sponsor!C147</f>
        <v>Greater than $25K</v>
      </c>
      <c r="D143" s="125">
        <f>Sponsor!F147</f>
        <v>0</v>
      </c>
      <c r="E143" s="922"/>
      <c r="F143" s="923"/>
      <c r="G143" s="923"/>
      <c r="H143" s="923"/>
      <c r="I143" s="924"/>
      <c r="J143" s="673">
        <f>J141-J142</f>
        <v>0</v>
      </c>
      <c r="K143" s="673">
        <f t="shared" si="41"/>
        <v>0</v>
      </c>
      <c r="L143" s="958"/>
      <c r="M143" s="959"/>
      <c r="N143" s="169">
        <f>K143</f>
        <v>0</v>
      </c>
      <c r="O143" s="303">
        <v>60270</v>
      </c>
    </row>
    <row r="144" spans="1:15">
      <c r="A144" s="156"/>
      <c r="B144" s="115" t="str">
        <f>Sponsor!B148</f>
        <v>08</v>
      </c>
      <c r="C144" s="677" t="str">
        <f>IF(Sponsor!C148="","",Sponsor!C148)</f>
        <v/>
      </c>
      <c r="D144" s="638">
        <f>Sponsor!F148</f>
        <v>0</v>
      </c>
      <c r="E144" s="686"/>
      <c r="F144" s="686"/>
      <c r="G144" s="686"/>
      <c r="H144" s="686"/>
      <c r="I144" s="686"/>
      <c r="J144" s="638">
        <f>SUM(E144:I144)</f>
        <v>0</v>
      </c>
      <c r="K144" s="638">
        <f t="shared" si="41"/>
        <v>0</v>
      </c>
      <c r="L144" s="686"/>
      <c r="M144" s="686"/>
      <c r="N144" s="167">
        <f>D144+L144+M144</f>
        <v>0</v>
      </c>
      <c r="O144" s="304"/>
    </row>
    <row r="145" spans="1:15">
      <c r="A145" s="679">
        <f>Sponsor!A149</f>
        <v>60250</v>
      </c>
      <c r="B145" s="148"/>
      <c r="C145" s="102" t="str">
        <f>Sponsor!C149</f>
        <v>Less than $25K</v>
      </c>
      <c r="D145" s="124">
        <f>Sponsor!F149</f>
        <v>0</v>
      </c>
      <c r="E145" s="892" t="s">
        <v>679</v>
      </c>
      <c r="F145" s="920"/>
      <c r="G145" s="920"/>
      <c r="H145" s="920"/>
      <c r="I145" s="921"/>
      <c r="J145" s="673">
        <f>UMYr1!AB129</f>
        <v>0</v>
      </c>
      <c r="K145" s="673">
        <f t="shared" si="41"/>
        <v>0</v>
      </c>
      <c r="L145" s="892" t="s">
        <v>679</v>
      </c>
      <c r="M145" s="957"/>
      <c r="N145" s="168">
        <f>K145</f>
        <v>0</v>
      </c>
      <c r="O145" s="303">
        <v>60250</v>
      </c>
    </row>
    <row r="146" spans="1:15">
      <c r="A146" s="679">
        <f>Sponsor!A150</f>
        <v>60270</v>
      </c>
      <c r="B146" s="149"/>
      <c r="C146" s="102" t="str">
        <f>Sponsor!C150</f>
        <v>Greater than $25K</v>
      </c>
      <c r="D146" s="125">
        <f>Sponsor!F150</f>
        <v>0</v>
      </c>
      <c r="E146" s="922"/>
      <c r="F146" s="923"/>
      <c r="G146" s="923"/>
      <c r="H146" s="923"/>
      <c r="I146" s="924"/>
      <c r="J146" s="673">
        <f>J144-J145</f>
        <v>0</v>
      </c>
      <c r="K146" s="673">
        <f t="shared" si="41"/>
        <v>0</v>
      </c>
      <c r="L146" s="958"/>
      <c r="M146" s="959"/>
      <c r="N146" s="169">
        <f>K146</f>
        <v>0</v>
      </c>
      <c r="O146" s="303">
        <v>60270</v>
      </c>
    </row>
    <row r="147" spans="1:15">
      <c r="A147" s="156"/>
      <c r="B147" s="115" t="str">
        <f>Sponsor!B151</f>
        <v>09</v>
      </c>
      <c r="C147" s="677" t="str">
        <f>IF(Sponsor!C151="","",Sponsor!C151)</f>
        <v/>
      </c>
      <c r="D147" s="638">
        <f>Sponsor!F151</f>
        <v>0</v>
      </c>
      <c r="E147" s="686"/>
      <c r="F147" s="686"/>
      <c r="G147" s="686"/>
      <c r="H147" s="686"/>
      <c r="I147" s="686"/>
      <c r="J147" s="638">
        <f>SUM(E147:I147)</f>
        <v>0</v>
      </c>
      <c r="K147" s="638">
        <f t="shared" si="41"/>
        <v>0</v>
      </c>
      <c r="L147" s="686"/>
      <c r="M147" s="686"/>
      <c r="N147" s="167">
        <f>D147+L147+M147</f>
        <v>0</v>
      </c>
      <c r="O147" s="304"/>
    </row>
    <row r="148" spans="1:15">
      <c r="A148" s="679">
        <f>Sponsor!A152</f>
        <v>60250</v>
      </c>
      <c r="B148" s="148"/>
      <c r="C148" s="102" t="str">
        <f>Sponsor!C152</f>
        <v>Less than $25K</v>
      </c>
      <c r="D148" s="124">
        <f>Sponsor!F152</f>
        <v>0</v>
      </c>
      <c r="E148" s="892" t="s">
        <v>679</v>
      </c>
      <c r="F148" s="920"/>
      <c r="G148" s="920"/>
      <c r="H148" s="920"/>
      <c r="I148" s="921"/>
      <c r="J148" s="673">
        <f>UMYr1!AB130</f>
        <v>0</v>
      </c>
      <c r="K148" s="673">
        <f t="shared" si="41"/>
        <v>0</v>
      </c>
      <c r="L148" s="892" t="s">
        <v>679</v>
      </c>
      <c r="M148" s="957"/>
      <c r="N148" s="168">
        <f>K148</f>
        <v>0</v>
      </c>
      <c r="O148" s="303">
        <v>60250</v>
      </c>
    </row>
    <row r="149" spans="1:15">
      <c r="A149" s="679">
        <f>Sponsor!A153</f>
        <v>60270</v>
      </c>
      <c r="B149" s="149"/>
      <c r="C149" s="102" t="str">
        <f>Sponsor!C153</f>
        <v>Greater than $25K</v>
      </c>
      <c r="D149" s="125">
        <f>Sponsor!F153</f>
        <v>0</v>
      </c>
      <c r="E149" s="922"/>
      <c r="F149" s="923"/>
      <c r="G149" s="923"/>
      <c r="H149" s="923"/>
      <c r="I149" s="924"/>
      <c r="J149" s="673">
        <f>J147-J148</f>
        <v>0</v>
      </c>
      <c r="K149" s="673">
        <f t="shared" si="41"/>
        <v>0</v>
      </c>
      <c r="L149" s="958"/>
      <c r="M149" s="959"/>
      <c r="N149" s="169">
        <f>K149</f>
        <v>0</v>
      </c>
      <c r="O149" s="303">
        <v>60270</v>
      </c>
    </row>
    <row r="150" spans="1:15">
      <c r="A150" s="156"/>
      <c r="B150" s="115">
        <f>Sponsor!B154</f>
        <v>10</v>
      </c>
      <c r="C150" s="677" t="str">
        <f>IF(Sponsor!C154="","",Sponsor!C154)</f>
        <v/>
      </c>
      <c r="D150" s="638">
        <f>Sponsor!F154</f>
        <v>0</v>
      </c>
      <c r="E150" s="686"/>
      <c r="F150" s="686"/>
      <c r="G150" s="686"/>
      <c r="H150" s="686"/>
      <c r="I150" s="686"/>
      <c r="J150" s="638">
        <f>SUM(E150:I150)</f>
        <v>0</v>
      </c>
      <c r="K150" s="638">
        <f t="shared" si="41"/>
        <v>0</v>
      </c>
      <c r="L150" s="686"/>
      <c r="M150" s="686"/>
      <c r="N150" s="167">
        <f>D150+L150+M150</f>
        <v>0</v>
      </c>
      <c r="O150" s="304"/>
    </row>
    <row r="151" spans="1:15">
      <c r="A151" s="679">
        <f>Sponsor!A155</f>
        <v>60250</v>
      </c>
      <c r="B151" s="148"/>
      <c r="C151" s="102" t="str">
        <f>Sponsor!C155</f>
        <v>Less than $25K</v>
      </c>
      <c r="D151" s="124">
        <f>Sponsor!F155</f>
        <v>0</v>
      </c>
      <c r="E151" s="892" t="s">
        <v>679</v>
      </c>
      <c r="F151" s="920"/>
      <c r="G151" s="920"/>
      <c r="H151" s="920"/>
      <c r="I151" s="921"/>
      <c r="J151" s="673">
        <f>UMYr1!AB131</f>
        <v>0</v>
      </c>
      <c r="K151" s="673">
        <f t="shared" si="41"/>
        <v>0</v>
      </c>
      <c r="L151" s="892" t="s">
        <v>679</v>
      </c>
      <c r="M151" s="957"/>
      <c r="N151" s="168">
        <f>K151</f>
        <v>0</v>
      </c>
      <c r="O151" s="303">
        <v>60250</v>
      </c>
    </row>
    <row r="152" spans="1:15">
      <c r="A152" s="679">
        <f>Sponsor!A156</f>
        <v>60270</v>
      </c>
      <c r="B152" s="148"/>
      <c r="C152" s="102" t="str">
        <f>Sponsor!C156</f>
        <v>Greater than $25K</v>
      </c>
      <c r="D152" s="125">
        <f>Sponsor!F156</f>
        <v>0</v>
      </c>
      <c r="E152" s="922"/>
      <c r="F152" s="923"/>
      <c r="G152" s="923"/>
      <c r="H152" s="923"/>
      <c r="I152" s="924"/>
      <c r="J152" s="673">
        <f>J150-J151</f>
        <v>0</v>
      </c>
      <c r="K152" s="673">
        <f t="shared" si="41"/>
        <v>0</v>
      </c>
      <c r="L152" s="958"/>
      <c r="M152" s="959"/>
      <c r="N152" s="169">
        <f>K152</f>
        <v>0</v>
      </c>
      <c r="O152" s="303">
        <v>60270</v>
      </c>
    </row>
    <row r="153" spans="1:15">
      <c r="A153" s="156"/>
      <c r="B153" s="115">
        <f>Sponsor!B157</f>
        <v>11</v>
      </c>
      <c r="C153" s="677" t="str">
        <f>IF(Sponsor!C157="","",Sponsor!C157)</f>
        <v/>
      </c>
      <c r="D153" s="638">
        <f>Sponsor!F157</f>
        <v>0</v>
      </c>
      <c r="E153" s="686"/>
      <c r="F153" s="686"/>
      <c r="G153" s="686"/>
      <c r="H153" s="686"/>
      <c r="I153" s="686"/>
      <c r="J153" s="638">
        <f>SUM(E153:I153)</f>
        <v>0</v>
      </c>
      <c r="K153" s="638">
        <f t="shared" si="41"/>
        <v>0</v>
      </c>
      <c r="L153" s="686"/>
      <c r="M153" s="686"/>
      <c r="N153" s="167">
        <f>D153+L153+M153</f>
        <v>0</v>
      </c>
      <c r="O153" s="304"/>
    </row>
    <row r="154" spans="1:15">
      <c r="A154" s="679">
        <f>Sponsor!A158</f>
        <v>60250</v>
      </c>
      <c r="B154" s="148"/>
      <c r="C154" s="102" t="str">
        <f>Sponsor!C158</f>
        <v>Less than $25K</v>
      </c>
      <c r="D154" s="124">
        <f>Sponsor!F158</f>
        <v>0</v>
      </c>
      <c r="E154" s="892" t="s">
        <v>679</v>
      </c>
      <c r="F154" s="920"/>
      <c r="G154" s="920"/>
      <c r="H154" s="920"/>
      <c r="I154" s="921"/>
      <c r="J154" s="673">
        <f>UMYr1!AB132</f>
        <v>0</v>
      </c>
      <c r="K154" s="673">
        <f t="shared" si="41"/>
        <v>0</v>
      </c>
      <c r="L154" s="892" t="s">
        <v>679</v>
      </c>
      <c r="M154" s="957"/>
      <c r="N154" s="168">
        <f>K154</f>
        <v>0</v>
      </c>
      <c r="O154" s="303">
        <v>60250</v>
      </c>
    </row>
    <row r="155" spans="1:15">
      <c r="A155" s="679">
        <f>Sponsor!A159</f>
        <v>60270</v>
      </c>
      <c r="B155" s="148"/>
      <c r="C155" s="102" t="str">
        <f>Sponsor!C159</f>
        <v>Greater than $25K</v>
      </c>
      <c r="D155" s="125">
        <f>Sponsor!F159</f>
        <v>0</v>
      </c>
      <c r="E155" s="922"/>
      <c r="F155" s="923"/>
      <c r="G155" s="923"/>
      <c r="H155" s="923"/>
      <c r="I155" s="924"/>
      <c r="J155" s="673">
        <f>J153-J154</f>
        <v>0</v>
      </c>
      <c r="K155" s="673">
        <f t="shared" si="41"/>
        <v>0</v>
      </c>
      <c r="L155" s="958"/>
      <c r="M155" s="959"/>
      <c r="N155" s="169">
        <f>K155</f>
        <v>0</v>
      </c>
      <c r="O155" s="303">
        <v>60270</v>
      </c>
    </row>
    <row r="156" spans="1:15">
      <c r="A156" s="156"/>
      <c r="B156" s="115">
        <f>Sponsor!B160</f>
        <v>12</v>
      </c>
      <c r="C156" s="677" t="str">
        <f>IF(Sponsor!C160="","",Sponsor!C160)</f>
        <v/>
      </c>
      <c r="D156" s="638">
        <f>Sponsor!F160</f>
        <v>0</v>
      </c>
      <c r="E156" s="686"/>
      <c r="F156" s="686"/>
      <c r="G156" s="686"/>
      <c r="H156" s="686"/>
      <c r="I156" s="686"/>
      <c r="J156" s="638">
        <f>SUM(E156:I156)</f>
        <v>0</v>
      </c>
      <c r="K156" s="638">
        <f t="shared" si="41"/>
        <v>0</v>
      </c>
      <c r="L156" s="686"/>
      <c r="M156" s="686"/>
      <c r="N156" s="167">
        <f>D156+L156+M156</f>
        <v>0</v>
      </c>
      <c r="O156" s="304"/>
    </row>
    <row r="157" spans="1:15">
      <c r="A157" s="679">
        <f>Sponsor!A161</f>
        <v>60250</v>
      </c>
      <c r="B157" s="148"/>
      <c r="C157" s="102" t="str">
        <f>Sponsor!C161</f>
        <v>Less than $25K</v>
      </c>
      <c r="D157" s="124">
        <f>Sponsor!F161</f>
        <v>0</v>
      </c>
      <c r="E157" s="892" t="s">
        <v>679</v>
      </c>
      <c r="F157" s="920"/>
      <c r="G157" s="920"/>
      <c r="H157" s="920"/>
      <c r="I157" s="921"/>
      <c r="J157" s="673">
        <f>UMYr1!AB133</f>
        <v>0</v>
      </c>
      <c r="K157" s="673">
        <f t="shared" si="41"/>
        <v>0</v>
      </c>
      <c r="L157" s="892" t="s">
        <v>679</v>
      </c>
      <c r="M157" s="957"/>
      <c r="N157" s="168">
        <f>K157</f>
        <v>0</v>
      </c>
      <c r="O157" s="303">
        <v>60250</v>
      </c>
    </row>
    <row r="158" spans="1:15">
      <c r="A158" s="679">
        <f>Sponsor!A162</f>
        <v>60270</v>
      </c>
      <c r="B158" s="148"/>
      <c r="C158" s="102" t="str">
        <f>Sponsor!C162</f>
        <v>Greater than $25K</v>
      </c>
      <c r="D158" s="125">
        <f>Sponsor!F162</f>
        <v>0</v>
      </c>
      <c r="E158" s="922"/>
      <c r="F158" s="923"/>
      <c r="G158" s="923"/>
      <c r="H158" s="923"/>
      <c r="I158" s="924"/>
      <c r="J158" s="673">
        <f>J156-J157</f>
        <v>0</v>
      </c>
      <c r="K158" s="673">
        <f t="shared" si="41"/>
        <v>0</v>
      </c>
      <c r="L158" s="958"/>
      <c r="M158" s="959"/>
      <c r="N158" s="169">
        <f>K158</f>
        <v>0</v>
      </c>
      <c r="O158" s="303">
        <v>60270</v>
      </c>
    </row>
    <row r="159" spans="1:15">
      <c r="A159" s="156"/>
      <c r="B159" s="115">
        <f>Sponsor!B163</f>
        <v>13</v>
      </c>
      <c r="C159" s="677" t="str">
        <f>IF(Sponsor!C163="","",Sponsor!C163)</f>
        <v/>
      </c>
      <c r="D159" s="638">
        <f>Sponsor!F163</f>
        <v>0</v>
      </c>
      <c r="E159" s="686"/>
      <c r="F159" s="686"/>
      <c r="G159" s="686"/>
      <c r="H159" s="686"/>
      <c r="I159" s="686"/>
      <c r="J159" s="638">
        <f>SUM(E159:I159)</f>
        <v>0</v>
      </c>
      <c r="K159" s="638">
        <f t="shared" si="41"/>
        <v>0</v>
      </c>
      <c r="L159" s="686"/>
      <c r="M159" s="686"/>
      <c r="N159" s="167">
        <f>D159+L159+M159</f>
        <v>0</v>
      </c>
      <c r="O159" s="304"/>
    </row>
    <row r="160" spans="1:15">
      <c r="A160" s="679">
        <f>Sponsor!A164</f>
        <v>60250</v>
      </c>
      <c r="B160" s="148"/>
      <c r="C160" s="102" t="str">
        <f>Sponsor!C164</f>
        <v>Less than $25K</v>
      </c>
      <c r="D160" s="124">
        <f>Sponsor!F164</f>
        <v>0</v>
      </c>
      <c r="E160" s="892" t="s">
        <v>679</v>
      </c>
      <c r="F160" s="920"/>
      <c r="G160" s="920"/>
      <c r="H160" s="920"/>
      <c r="I160" s="921"/>
      <c r="J160" s="673">
        <f>UMYr1!AB134</f>
        <v>0</v>
      </c>
      <c r="K160" s="673">
        <f t="shared" si="41"/>
        <v>0</v>
      </c>
      <c r="L160" s="892" t="s">
        <v>679</v>
      </c>
      <c r="M160" s="957"/>
      <c r="N160" s="168">
        <f>K160</f>
        <v>0</v>
      </c>
      <c r="O160" s="303">
        <v>60250</v>
      </c>
    </row>
    <row r="161" spans="1:15">
      <c r="A161" s="679">
        <f>Sponsor!A165</f>
        <v>60270</v>
      </c>
      <c r="B161" s="148"/>
      <c r="C161" s="102" t="str">
        <f>Sponsor!C165</f>
        <v>Greater than $25K</v>
      </c>
      <c r="D161" s="125">
        <f>Sponsor!F165</f>
        <v>0</v>
      </c>
      <c r="E161" s="922"/>
      <c r="F161" s="923"/>
      <c r="G161" s="923"/>
      <c r="H161" s="923"/>
      <c r="I161" s="924"/>
      <c r="J161" s="673">
        <f>J159-J160</f>
        <v>0</v>
      </c>
      <c r="K161" s="673">
        <f t="shared" si="41"/>
        <v>0</v>
      </c>
      <c r="L161" s="958"/>
      <c r="M161" s="959"/>
      <c r="N161" s="169">
        <f>K161</f>
        <v>0</v>
      </c>
      <c r="O161" s="303">
        <v>60270</v>
      </c>
    </row>
    <row r="162" spans="1:15" s="256" customFormat="1">
      <c r="A162" s="156"/>
      <c r="B162" s="115">
        <f>Sponsor!B166</f>
        <v>14</v>
      </c>
      <c r="C162" s="677" t="str">
        <f>IF(Sponsor!C166="","",Sponsor!C166)</f>
        <v/>
      </c>
      <c r="D162" s="638">
        <f>Sponsor!F166</f>
        <v>0</v>
      </c>
      <c r="E162" s="686"/>
      <c r="F162" s="686"/>
      <c r="G162" s="686"/>
      <c r="H162" s="686"/>
      <c r="I162" s="686"/>
      <c r="J162" s="638">
        <f>SUM(E162:I162)</f>
        <v>0</v>
      </c>
      <c r="K162" s="638">
        <f t="shared" si="41"/>
        <v>0</v>
      </c>
      <c r="L162" s="686"/>
      <c r="M162" s="686"/>
      <c r="N162" s="167">
        <f>D162+L162+M162</f>
        <v>0</v>
      </c>
      <c r="O162" s="304"/>
    </row>
    <row r="163" spans="1:15">
      <c r="A163" s="679">
        <f>Sponsor!A167</f>
        <v>60250</v>
      </c>
      <c r="B163" s="148"/>
      <c r="C163" s="102" t="str">
        <f>Sponsor!C167</f>
        <v>Less than $25K</v>
      </c>
      <c r="D163" s="124">
        <f>Sponsor!F167</f>
        <v>0</v>
      </c>
      <c r="E163" s="892" t="s">
        <v>679</v>
      </c>
      <c r="F163" s="920"/>
      <c r="G163" s="920"/>
      <c r="H163" s="920"/>
      <c r="I163" s="921"/>
      <c r="J163" s="673">
        <f>UMYr1!AB135</f>
        <v>0</v>
      </c>
      <c r="K163" s="673">
        <f t="shared" si="41"/>
        <v>0</v>
      </c>
      <c r="L163" s="892" t="s">
        <v>679</v>
      </c>
      <c r="M163" s="957"/>
      <c r="N163" s="168">
        <f>K163</f>
        <v>0</v>
      </c>
      <c r="O163" s="303">
        <v>60250</v>
      </c>
    </row>
    <row r="164" spans="1:15">
      <c r="A164" s="679">
        <f>Sponsor!A168</f>
        <v>60270</v>
      </c>
      <c r="B164" s="148"/>
      <c r="C164" s="102" t="str">
        <f>Sponsor!C168</f>
        <v>Greater than $25K</v>
      </c>
      <c r="D164" s="125">
        <f>Sponsor!F168</f>
        <v>0</v>
      </c>
      <c r="E164" s="922"/>
      <c r="F164" s="923"/>
      <c r="G164" s="923"/>
      <c r="H164" s="923"/>
      <c r="I164" s="924"/>
      <c r="J164" s="673">
        <f>J162-J163</f>
        <v>0</v>
      </c>
      <c r="K164" s="673">
        <f t="shared" si="41"/>
        <v>0</v>
      </c>
      <c r="L164" s="958"/>
      <c r="M164" s="959"/>
      <c r="N164" s="169">
        <f>K164</f>
        <v>0</v>
      </c>
      <c r="O164" s="303">
        <v>60270</v>
      </c>
    </row>
    <row r="165" spans="1:15">
      <c r="A165" s="156"/>
      <c r="B165" s="115">
        <f>Sponsor!B169</f>
        <v>15</v>
      </c>
      <c r="C165" s="677" t="str">
        <f>IF(Sponsor!C169="","",Sponsor!C169)</f>
        <v/>
      </c>
      <c r="D165" s="638">
        <f>Sponsor!F169</f>
        <v>0</v>
      </c>
      <c r="E165" s="686"/>
      <c r="F165" s="686"/>
      <c r="G165" s="686"/>
      <c r="H165" s="686"/>
      <c r="I165" s="686"/>
      <c r="J165" s="638">
        <f>SUM(E165:I165)</f>
        <v>0</v>
      </c>
      <c r="K165" s="638">
        <f t="shared" si="41"/>
        <v>0</v>
      </c>
      <c r="L165" s="686"/>
      <c r="M165" s="686"/>
      <c r="N165" s="167">
        <f>D165+L165+M165</f>
        <v>0</v>
      </c>
      <c r="O165" s="304"/>
    </row>
    <row r="166" spans="1:15">
      <c r="A166" s="679">
        <f>Sponsor!A170</f>
        <v>60250</v>
      </c>
      <c r="B166" s="148"/>
      <c r="C166" s="102" t="str">
        <f>Sponsor!C170</f>
        <v>Less than $25K</v>
      </c>
      <c r="D166" s="124">
        <f>Sponsor!F170</f>
        <v>0</v>
      </c>
      <c r="E166" s="892" t="s">
        <v>679</v>
      </c>
      <c r="F166" s="920"/>
      <c r="G166" s="920"/>
      <c r="H166" s="920"/>
      <c r="I166" s="921"/>
      <c r="J166" s="673">
        <f>UMYr1!AB136</f>
        <v>0</v>
      </c>
      <c r="K166" s="673">
        <f t="shared" si="41"/>
        <v>0</v>
      </c>
      <c r="L166" s="892" t="s">
        <v>679</v>
      </c>
      <c r="M166" s="957"/>
      <c r="N166" s="168">
        <f>K166</f>
        <v>0</v>
      </c>
      <c r="O166" s="303">
        <v>60250</v>
      </c>
    </row>
    <row r="167" spans="1:15">
      <c r="A167" s="679">
        <f>Sponsor!A171</f>
        <v>60270</v>
      </c>
      <c r="B167" s="148"/>
      <c r="C167" s="102" t="str">
        <f>Sponsor!C171</f>
        <v>Greater than $25K</v>
      </c>
      <c r="D167" s="125">
        <f>Sponsor!F171</f>
        <v>0</v>
      </c>
      <c r="E167" s="922"/>
      <c r="F167" s="923"/>
      <c r="G167" s="923"/>
      <c r="H167" s="923"/>
      <c r="I167" s="924"/>
      <c r="J167" s="673">
        <f>J165-J166</f>
        <v>0</v>
      </c>
      <c r="K167" s="673">
        <f t="shared" si="41"/>
        <v>0</v>
      </c>
      <c r="L167" s="958"/>
      <c r="M167" s="959"/>
      <c r="N167" s="169">
        <f>K167</f>
        <v>0</v>
      </c>
      <c r="O167" s="303">
        <v>60270</v>
      </c>
    </row>
    <row r="168" spans="1:15">
      <c r="A168" s="156"/>
      <c r="B168" s="115">
        <f>Sponsor!B172</f>
        <v>16</v>
      </c>
      <c r="C168" s="677" t="str">
        <f>IF(Sponsor!C172="","",Sponsor!C172)</f>
        <v/>
      </c>
      <c r="D168" s="638">
        <f>Sponsor!F172</f>
        <v>0</v>
      </c>
      <c r="E168" s="686"/>
      <c r="F168" s="686"/>
      <c r="G168" s="686"/>
      <c r="H168" s="686"/>
      <c r="I168" s="686"/>
      <c r="J168" s="638">
        <f>SUM(E168:I168)</f>
        <v>0</v>
      </c>
      <c r="K168" s="638">
        <f t="shared" si="41"/>
        <v>0</v>
      </c>
      <c r="L168" s="686"/>
      <c r="M168" s="686"/>
      <c r="N168" s="167">
        <f>D168+L168+M168</f>
        <v>0</v>
      </c>
      <c r="O168" s="304"/>
    </row>
    <row r="169" spans="1:15">
      <c r="A169" s="679">
        <f>Sponsor!A173</f>
        <v>60250</v>
      </c>
      <c r="B169" s="148"/>
      <c r="C169" s="102" t="str">
        <f>Sponsor!C173</f>
        <v>Less than $25K</v>
      </c>
      <c r="D169" s="124">
        <f>Sponsor!F173</f>
        <v>0</v>
      </c>
      <c r="E169" s="892" t="s">
        <v>679</v>
      </c>
      <c r="F169" s="920"/>
      <c r="G169" s="920"/>
      <c r="H169" s="920"/>
      <c r="I169" s="921"/>
      <c r="J169" s="673">
        <f>UMYr1!AB137</f>
        <v>0</v>
      </c>
      <c r="K169" s="673">
        <f t="shared" si="41"/>
        <v>0</v>
      </c>
      <c r="L169" s="892" t="s">
        <v>679</v>
      </c>
      <c r="M169" s="957"/>
      <c r="N169" s="168">
        <f>K169</f>
        <v>0</v>
      </c>
      <c r="O169" s="303">
        <v>60250</v>
      </c>
    </row>
    <row r="170" spans="1:15">
      <c r="A170" s="679">
        <f>Sponsor!A174</f>
        <v>60270</v>
      </c>
      <c r="B170" s="148"/>
      <c r="C170" s="102" t="str">
        <f>Sponsor!C174</f>
        <v>Greater than $25K</v>
      </c>
      <c r="D170" s="125">
        <f>Sponsor!F174</f>
        <v>0</v>
      </c>
      <c r="E170" s="922"/>
      <c r="F170" s="923"/>
      <c r="G170" s="923"/>
      <c r="H170" s="923"/>
      <c r="I170" s="924"/>
      <c r="J170" s="673">
        <f>J168-J169</f>
        <v>0</v>
      </c>
      <c r="K170" s="673">
        <f t="shared" si="41"/>
        <v>0</v>
      </c>
      <c r="L170" s="958"/>
      <c r="M170" s="959"/>
      <c r="N170" s="169">
        <f>K170</f>
        <v>0</v>
      </c>
      <c r="O170" s="303">
        <v>60270</v>
      </c>
    </row>
    <row r="171" spans="1:15">
      <c r="A171" s="156"/>
      <c r="B171" s="115">
        <f>Sponsor!B175</f>
        <v>17</v>
      </c>
      <c r="C171" s="677" t="str">
        <f>IF(Sponsor!C175="","",Sponsor!C175)</f>
        <v/>
      </c>
      <c r="D171" s="638">
        <f>Sponsor!F175</f>
        <v>0</v>
      </c>
      <c r="E171" s="686"/>
      <c r="F171" s="686"/>
      <c r="G171" s="686"/>
      <c r="H171" s="686"/>
      <c r="I171" s="686"/>
      <c r="J171" s="638">
        <f>SUM(E171:I171)</f>
        <v>0</v>
      </c>
      <c r="K171" s="638">
        <f t="shared" si="41"/>
        <v>0</v>
      </c>
      <c r="L171" s="686"/>
      <c r="M171" s="686"/>
      <c r="N171" s="167">
        <f>D171+L171+M171</f>
        <v>0</v>
      </c>
      <c r="O171" s="304"/>
    </row>
    <row r="172" spans="1:15">
      <c r="A172" s="679">
        <f>Sponsor!A176</f>
        <v>60250</v>
      </c>
      <c r="B172" s="148"/>
      <c r="C172" s="102" t="str">
        <f>Sponsor!C176</f>
        <v>Less than $25K</v>
      </c>
      <c r="D172" s="124">
        <f>Sponsor!F176</f>
        <v>0</v>
      </c>
      <c r="E172" s="892" t="s">
        <v>679</v>
      </c>
      <c r="F172" s="920"/>
      <c r="G172" s="920"/>
      <c r="H172" s="920"/>
      <c r="I172" s="921"/>
      <c r="J172" s="673">
        <f>UMYr1!AB138</f>
        <v>0</v>
      </c>
      <c r="K172" s="673">
        <f t="shared" si="41"/>
        <v>0</v>
      </c>
      <c r="L172" s="892" t="s">
        <v>679</v>
      </c>
      <c r="M172" s="957"/>
      <c r="N172" s="168">
        <f>K172</f>
        <v>0</v>
      </c>
      <c r="O172" s="303">
        <v>60250</v>
      </c>
    </row>
    <row r="173" spans="1:15">
      <c r="A173" s="679">
        <f>Sponsor!A177</f>
        <v>60270</v>
      </c>
      <c r="B173" s="148"/>
      <c r="C173" s="102" t="str">
        <f>Sponsor!C177</f>
        <v>Greater than $25K</v>
      </c>
      <c r="D173" s="125">
        <f>Sponsor!F177</f>
        <v>0</v>
      </c>
      <c r="E173" s="922"/>
      <c r="F173" s="923"/>
      <c r="G173" s="923"/>
      <c r="H173" s="923"/>
      <c r="I173" s="924"/>
      <c r="J173" s="673">
        <f>J171-J172</f>
        <v>0</v>
      </c>
      <c r="K173" s="673">
        <f t="shared" si="41"/>
        <v>0</v>
      </c>
      <c r="L173" s="958"/>
      <c r="M173" s="959"/>
      <c r="N173" s="169">
        <f>K173</f>
        <v>0</v>
      </c>
      <c r="O173" s="303">
        <v>60270</v>
      </c>
    </row>
    <row r="174" spans="1:15">
      <c r="A174" s="156"/>
      <c r="B174" s="115">
        <f>Sponsor!B178</f>
        <v>18</v>
      </c>
      <c r="C174" s="677" t="str">
        <f>IF(Sponsor!C178="","",Sponsor!C178)</f>
        <v/>
      </c>
      <c r="D174" s="638">
        <f>Sponsor!F178</f>
        <v>0</v>
      </c>
      <c r="E174" s="686"/>
      <c r="F174" s="686"/>
      <c r="G174" s="686"/>
      <c r="H174" s="686"/>
      <c r="I174" s="686"/>
      <c r="J174" s="638">
        <f>SUM(E174:I174)</f>
        <v>0</v>
      </c>
      <c r="K174" s="638">
        <f t="shared" si="41"/>
        <v>0</v>
      </c>
      <c r="L174" s="686"/>
      <c r="M174" s="686"/>
      <c r="N174" s="167">
        <f>D174+L174+M174</f>
        <v>0</v>
      </c>
      <c r="O174" s="304"/>
    </row>
    <row r="175" spans="1:15">
      <c r="A175" s="679">
        <f>Sponsor!A179</f>
        <v>60250</v>
      </c>
      <c r="B175" s="148"/>
      <c r="C175" s="102" t="str">
        <f>Sponsor!C179</f>
        <v>Less than $25K</v>
      </c>
      <c r="D175" s="124">
        <f>Sponsor!F179</f>
        <v>0</v>
      </c>
      <c r="E175" s="892" t="s">
        <v>679</v>
      </c>
      <c r="F175" s="920"/>
      <c r="G175" s="920"/>
      <c r="H175" s="920"/>
      <c r="I175" s="921"/>
      <c r="J175" s="673">
        <f>UMYr1!AB139</f>
        <v>0</v>
      </c>
      <c r="K175" s="673">
        <f t="shared" si="41"/>
        <v>0</v>
      </c>
      <c r="L175" s="892" t="s">
        <v>679</v>
      </c>
      <c r="M175" s="957"/>
      <c r="N175" s="168">
        <f>K175</f>
        <v>0</v>
      </c>
      <c r="O175" s="303">
        <v>60250</v>
      </c>
    </row>
    <row r="176" spans="1:15">
      <c r="A176" s="679">
        <f>Sponsor!A180</f>
        <v>60270</v>
      </c>
      <c r="B176" s="148"/>
      <c r="C176" s="102" t="str">
        <f>Sponsor!C180</f>
        <v>Greater than $25K</v>
      </c>
      <c r="D176" s="125">
        <f>Sponsor!F180</f>
        <v>0</v>
      </c>
      <c r="E176" s="922"/>
      <c r="F176" s="923"/>
      <c r="G176" s="923"/>
      <c r="H176" s="923"/>
      <c r="I176" s="924"/>
      <c r="J176" s="673">
        <f>J174-J175</f>
        <v>0</v>
      </c>
      <c r="K176" s="673">
        <f t="shared" si="41"/>
        <v>0</v>
      </c>
      <c r="L176" s="958"/>
      <c r="M176" s="959"/>
      <c r="N176" s="169">
        <f>K176</f>
        <v>0</v>
      </c>
      <c r="O176" s="303">
        <v>60270</v>
      </c>
    </row>
    <row r="177" spans="1:15">
      <c r="A177" s="156"/>
      <c r="B177" s="115">
        <f>Sponsor!B181</f>
        <v>19</v>
      </c>
      <c r="C177" s="677" t="str">
        <f>IF(Sponsor!C181="","",Sponsor!C181)</f>
        <v/>
      </c>
      <c r="D177" s="638">
        <f>Sponsor!F181</f>
        <v>0</v>
      </c>
      <c r="E177" s="686"/>
      <c r="F177" s="686"/>
      <c r="G177" s="686"/>
      <c r="H177" s="686"/>
      <c r="I177" s="686"/>
      <c r="J177" s="638">
        <f>SUM(E177:I177)</f>
        <v>0</v>
      </c>
      <c r="K177" s="638">
        <f t="shared" si="41"/>
        <v>0</v>
      </c>
      <c r="L177" s="686"/>
      <c r="M177" s="686"/>
      <c r="N177" s="167">
        <f>D177+L177+M177</f>
        <v>0</v>
      </c>
      <c r="O177" s="304"/>
    </row>
    <row r="178" spans="1:15">
      <c r="A178" s="679">
        <f>Sponsor!A182</f>
        <v>60250</v>
      </c>
      <c r="B178" s="148"/>
      <c r="C178" s="102" t="str">
        <f>Sponsor!C182</f>
        <v>Less than $25K</v>
      </c>
      <c r="D178" s="124">
        <f>Sponsor!F182</f>
        <v>0</v>
      </c>
      <c r="E178" s="892" t="s">
        <v>679</v>
      </c>
      <c r="F178" s="920"/>
      <c r="G178" s="920"/>
      <c r="H178" s="920"/>
      <c r="I178" s="921"/>
      <c r="J178" s="673">
        <f>UMYr1!AB140</f>
        <v>0</v>
      </c>
      <c r="K178" s="673">
        <f t="shared" si="41"/>
        <v>0</v>
      </c>
      <c r="L178" s="892" t="s">
        <v>679</v>
      </c>
      <c r="M178" s="957"/>
      <c r="N178" s="168">
        <f>K178</f>
        <v>0</v>
      </c>
      <c r="O178" s="303">
        <v>60250</v>
      </c>
    </row>
    <row r="179" spans="1:15">
      <c r="A179" s="679">
        <f>Sponsor!A183</f>
        <v>60270</v>
      </c>
      <c r="B179" s="148"/>
      <c r="C179" s="102" t="str">
        <f>Sponsor!C183</f>
        <v>Greater than $25K</v>
      </c>
      <c r="D179" s="125">
        <f>Sponsor!F183</f>
        <v>0</v>
      </c>
      <c r="E179" s="922"/>
      <c r="F179" s="923"/>
      <c r="G179" s="923"/>
      <c r="H179" s="923"/>
      <c r="I179" s="924"/>
      <c r="J179" s="673">
        <f>J177-J178</f>
        <v>0</v>
      </c>
      <c r="K179" s="673">
        <f t="shared" si="41"/>
        <v>0</v>
      </c>
      <c r="L179" s="958"/>
      <c r="M179" s="959"/>
      <c r="N179" s="169">
        <f>K179</f>
        <v>0</v>
      </c>
      <c r="O179" s="303">
        <v>60270</v>
      </c>
    </row>
    <row r="180" spans="1:15">
      <c r="A180" s="156"/>
      <c r="B180" s="115">
        <f>Sponsor!B184</f>
        <v>20</v>
      </c>
      <c r="C180" s="677" t="str">
        <f>IF(Sponsor!C184="","",Sponsor!C184)</f>
        <v/>
      </c>
      <c r="D180" s="638">
        <f>Sponsor!F184</f>
        <v>0</v>
      </c>
      <c r="E180" s="686"/>
      <c r="F180" s="686"/>
      <c r="G180" s="686"/>
      <c r="H180" s="686"/>
      <c r="I180" s="686"/>
      <c r="J180" s="638">
        <f>SUM(E180:I180)</f>
        <v>0</v>
      </c>
      <c r="K180" s="638">
        <f t="shared" si="41"/>
        <v>0</v>
      </c>
      <c r="L180" s="686"/>
      <c r="M180" s="686"/>
      <c r="N180" s="167">
        <f>D180+L180+M180</f>
        <v>0</v>
      </c>
      <c r="O180" s="304"/>
    </row>
    <row r="181" spans="1:15">
      <c r="A181" s="679">
        <f>Sponsor!A185</f>
        <v>60250</v>
      </c>
      <c r="B181" s="148"/>
      <c r="C181" s="102" t="str">
        <f>Sponsor!C185</f>
        <v>Less than $25K</v>
      </c>
      <c r="D181" s="124">
        <f>Sponsor!F185</f>
        <v>0</v>
      </c>
      <c r="E181" s="892" t="s">
        <v>679</v>
      </c>
      <c r="F181" s="920"/>
      <c r="G181" s="920"/>
      <c r="H181" s="920"/>
      <c r="I181" s="921"/>
      <c r="J181" s="673">
        <f>UMYr1!AB141</f>
        <v>0</v>
      </c>
      <c r="K181" s="673">
        <f t="shared" si="41"/>
        <v>0</v>
      </c>
      <c r="L181" s="892" t="s">
        <v>679</v>
      </c>
      <c r="M181" s="957"/>
      <c r="N181" s="168">
        <f>K181</f>
        <v>0</v>
      </c>
      <c r="O181" s="303">
        <v>60250</v>
      </c>
    </row>
    <row r="182" spans="1:15" ht="13.5" thickBot="1">
      <c r="A182" s="159">
        <f>Sponsor!A186</f>
        <v>60270</v>
      </c>
      <c r="B182" s="148"/>
      <c r="C182" s="102" t="str">
        <f>Sponsor!C186</f>
        <v>Greater than $25K</v>
      </c>
      <c r="D182" s="125">
        <f>Sponsor!F186</f>
        <v>0</v>
      </c>
      <c r="E182" s="963"/>
      <c r="F182" s="964"/>
      <c r="G182" s="964"/>
      <c r="H182" s="964"/>
      <c r="I182" s="965"/>
      <c r="J182" s="171">
        <f>J180-J181</f>
        <v>0</v>
      </c>
      <c r="K182" s="171">
        <f t="shared" si="41"/>
        <v>0</v>
      </c>
      <c r="L182" s="960"/>
      <c r="M182" s="961"/>
      <c r="N182" s="169">
        <f>K182</f>
        <v>0</v>
      </c>
      <c r="O182" s="303">
        <v>60270</v>
      </c>
    </row>
    <row r="183" spans="1:15" ht="13.5" thickBot="1">
      <c r="A183" s="327"/>
      <c r="B183" s="919" t="s">
        <v>602</v>
      </c>
      <c r="C183" s="962"/>
      <c r="D183" s="308">
        <f>Sponsor!F187</f>
        <v>0</v>
      </c>
      <c r="E183" s="309">
        <f>E123+E126+E129+E132+E135+E138+E141+E144+E147+E150+E153+E156+E159+E162+E165+E168+E171+E174+E177+E180</f>
        <v>0</v>
      </c>
      <c r="F183" s="309">
        <f t="shared" ref="F183:K183" si="42">F123+F126+F129+F132+F135+F138+F141+F144+F147+F150+F153+F156+F159+F162+F165+F168+F171+F174+F177+F180</f>
        <v>0</v>
      </c>
      <c r="G183" s="309">
        <f t="shared" si="42"/>
        <v>0</v>
      </c>
      <c r="H183" s="309">
        <f t="shared" si="42"/>
        <v>0</v>
      </c>
      <c r="I183" s="309">
        <f t="shared" si="42"/>
        <v>0</v>
      </c>
      <c r="J183" s="309">
        <f t="shared" si="42"/>
        <v>0</v>
      </c>
      <c r="K183" s="309">
        <f t="shared" si="42"/>
        <v>0</v>
      </c>
      <c r="L183" s="309">
        <f>L123+L126+L129+L132+L135+L138+L141+L144+L147+L150+L153+L156+L159+L162+L165+L168+L171+L174+L177+L180</f>
        <v>0</v>
      </c>
      <c r="M183" s="309">
        <f>M123+M126+M129+M132+M135+M138+M141+M144+M147+M150+M153+M156+M159+M162+M165+M168+M171+M174+M177+M180</f>
        <v>0</v>
      </c>
      <c r="N183" s="170">
        <f>D183+ J183 + L183+M183</f>
        <v>0</v>
      </c>
    </row>
  </sheetData>
  <sheetProtection algorithmName="SHA-512" hashValue="SKJe4MdBUry0oPS6L3d/egnmcpkv2sih99af+aSAhFQ3yFaLa5PDNoLV31uMYKDdfxrzEXJUCMM7zCvyjvGCkQ==" saltValue="ZMJrTJ0v1ljnP59Zr8Y/1A==" spinCount="100000" sheet="1" objects="1" scenarios="1"/>
  <mergeCells count="117">
    <mergeCell ref="L172:M173"/>
    <mergeCell ref="L175:M176"/>
    <mergeCell ref="P105:R105"/>
    <mergeCell ref="P106:R106"/>
    <mergeCell ref="P107:R107"/>
    <mergeCell ref="P108:R108"/>
    <mergeCell ref="B110:N110"/>
    <mergeCell ref="B120:C120"/>
    <mergeCell ref="B109:C109"/>
    <mergeCell ref="E169:I170"/>
    <mergeCell ref="E175:I176"/>
    <mergeCell ref="L148:M149"/>
    <mergeCell ref="L139:M140"/>
    <mergeCell ref="L142:M143"/>
    <mergeCell ref="L145:M146"/>
    <mergeCell ref="L151:M152"/>
    <mergeCell ref="L124:M125"/>
    <mergeCell ref="L127:M128"/>
    <mergeCell ref="L160:M161"/>
    <mergeCell ref="L163:M164"/>
    <mergeCell ref="L166:M167"/>
    <mergeCell ref="L130:M131"/>
    <mergeCell ref="L133:M134"/>
    <mergeCell ref="L136:M137"/>
    <mergeCell ref="O104:R104"/>
    <mergeCell ref="F4:G4"/>
    <mergeCell ref="H3:J3"/>
    <mergeCell ref="H4:J4"/>
    <mergeCell ref="K2:L2"/>
    <mergeCell ref="K3:L3"/>
    <mergeCell ref="K4:L4"/>
    <mergeCell ref="B42:C42"/>
    <mergeCell ref="B67:C67"/>
    <mergeCell ref="M78:M83"/>
    <mergeCell ref="B64:N64"/>
    <mergeCell ref="B69:C69"/>
    <mergeCell ref="B68:C68"/>
    <mergeCell ref="B66:C66"/>
    <mergeCell ref="B52:C52"/>
    <mergeCell ref="B83:C83"/>
    <mergeCell ref="B74:C74"/>
    <mergeCell ref="B53:C53"/>
    <mergeCell ref="O54:O59"/>
    <mergeCell ref="B102:C102"/>
    <mergeCell ref="B77:C77"/>
    <mergeCell ref="B84:C84"/>
    <mergeCell ref="B75:C75"/>
    <mergeCell ref="B80:C80"/>
    <mergeCell ref="B78:C78"/>
    <mergeCell ref="B79:C79"/>
    <mergeCell ref="O2:Q4"/>
    <mergeCell ref="Q5:Q6"/>
    <mergeCell ref="O27:Q27"/>
    <mergeCell ref="D3:G3"/>
    <mergeCell ref="O1:Q1"/>
    <mergeCell ref="K5:K6"/>
    <mergeCell ref="N5:N6"/>
    <mergeCell ref="D1:N1"/>
    <mergeCell ref="L5:M5"/>
    <mergeCell ref="E5:J5"/>
    <mergeCell ref="D5:D6"/>
    <mergeCell ref="O43:Q43"/>
    <mergeCell ref="P5:P6"/>
    <mergeCell ref="O14:Q14"/>
    <mergeCell ref="O5:O6"/>
    <mergeCell ref="O7:Q7"/>
    <mergeCell ref="O32:Q32"/>
    <mergeCell ref="L54:M54"/>
    <mergeCell ref="O37:Q37"/>
    <mergeCell ref="A5:A6"/>
    <mergeCell ref="A1:C1"/>
    <mergeCell ref="B5:B6"/>
    <mergeCell ref="E136:I137"/>
    <mergeCell ref="A2:B2"/>
    <mergeCell ref="A3:B3"/>
    <mergeCell ref="A4:B4"/>
    <mergeCell ref="B60:C60"/>
    <mergeCell ref="D54:D59"/>
    <mergeCell ref="B81:C81"/>
    <mergeCell ref="F55:J59"/>
    <mergeCell ref="B36:C36"/>
    <mergeCell ref="B26:C26"/>
    <mergeCell ref="B23:C23"/>
    <mergeCell ref="B31:C31"/>
    <mergeCell ref="B12:C12"/>
    <mergeCell ref="B13:C13"/>
    <mergeCell ref="B30:C30"/>
    <mergeCell ref="C5:C6"/>
    <mergeCell ref="B63:C63"/>
    <mergeCell ref="D2:G2"/>
    <mergeCell ref="H2:J2"/>
    <mergeCell ref="B62:C62"/>
    <mergeCell ref="D4:E4"/>
    <mergeCell ref="L178:M179"/>
    <mergeCell ref="L181:M182"/>
    <mergeCell ref="L169:M170"/>
    <mergeCell ref="B183:C183"/>
    <mergeCell ref="B73:C73"/>
    <mergeCell ref="E139:I140"/>
    <mergeCell ref="E178:I179"/>
    <mergeCell ref="E142:I143"/>
    <mergeCell ref="E145:I146"/>
    <mergeCell ref="E172:I173"/>
    <mergeCell ref="E163:I164"/>
    <mergeCell ref="E160:I161"/>
    <mergeCell ref="E127:I128"/>
    <mergeCell ref="E124:I125"/>
    <mergeCell ref="E166:I167"/>
    <mergeCell ref="E148:I149"/>
    <mergeCell ref="E151:I152"/>
    <mergeCell ref="E154:I155"/>
    <mergeCell ref="E157:I158"/>
    <mergeCell ref="E130:I131"/>
    <mergeCell ref="E133:I134"/>
    <mergeCell ref="E181:I182"/>
    <mergeCell ref="L154:M155"/>
    <mergeCell ref="L157:M158"/>
  </mergeCells>
  <phoneticPr fontId="0" type="noConversion"/>
  <conditionalFormatting sqref="A8">
    <cfRule type="expression" dxfId="310" priority="118" stopIfTrue="1">
      <formula>OR($AH$8&gt;0,$AJ$8&gt;0)</formula>
    </cfRule>
  </conditionalFormatting>
  <conditionalFormatting sqref="A9">
    <cfRule type="expression" dxfId="309" priority="117" stopIfTrue="1">
      <formula>OR($AH$9&gt;0,$AJ$9&gt;0)</formula>
    </cfRule>
  </conditionalFormatting>
  <conditionalFormatting sqref="A10">
    <cfRule type="expression" dxfId="308" priority="116" stopIfTrue="1">
      <formula>OR($AH$10&gt;0,$AJ$10&gt;0)</formula>
    </cfRule>
  </conditionalFormatting>
  <conditionalFormatting sqref="A11">
    <cfRule type="expression" dxfId="307" priority="115" stopIfTrue="1">
      <formula>OR($AH$11&gt;0,$AJ$11&gt;0)</formula>
    </cfRule>
  </conditionalFormatting>
  <conditionalFormatting sqref="A107">
    <cfRule type="expression" dxfId="306" priority="110" stopIfTrue="1">
      <formula>OR($AH$40&gt;0,$AJ$40&gt;0)</formula>
    </cfRule>
  </conditionalFormatting>
  <conditionalFormatting sqref="A118">
    <cfRule type="expression" dxfId="305" priority="109" stopIfTrue="1">
      <formula>OR($AH$52&gt;0,$AJ$52&gt;0)</formula>
    </cfRule>
  </conditionalFormatting>
  <conditionalFormatting sqref="A86">
    <cfRule type="expression" dxfId="304" priority="106" stopIfTrue="1">
      <formula>OR($AH$15&gt;0,$AJ$15&gt;0)</formula>
    </cfRule>
  </conditionalFormatting>
  <conditionalFormatting sqref="A87">
    <cfRule type="expression" dxfId="303" priority="105" stopIfTrue="1">
      <formula>OR($AH$16&gt;0,$AJ$16&gt;0)</formula>
    </cfRule>
  </conditionalFormatting>
  <conditionalFormatting sqref="A88">
    <cfRule type="expression" dxfId="302" priority="104" stopIfTrue="1">
      <formula>OR($AH$17&gt;0,$AJ$17&gt;0)</formula>
    </cfRule>
  </conditionalFormatting>
  <conditionalFormatting sqref="A89">
    <cfRule type="expression" dxfId="301" priority="103" stopIfTrue="1">
      <formula>OR($AH$18&gt;0,$AJ$18&gt;0)</formula>
    </cfRule>
  </conditionalFormatting>
  <conditionalFormatting sqref="A90">
    <cfRule type="expression" dxfId="300" priority="102" stopIfTrue="1">
      <formula>OR($AH$19&gt;0,$AJ$19&gt;0)</formula>
    </cfRule>
  </conditionalFormatting>
  <conditionalFormatting sqref="A91">
    <cfRule type="expression" dxfId="299" priority="101" stopIfTrue="1">
      <formula>OR($AH$20&gt;0,$AJ$20&gt;0)</formula>
    </cfRule>
  </conditionalFormatting>
  <conditionalFormatting sqref="A92">
    <cfRule type="expression" dxfId="298" priority="100" stopIfTrue="1">
      <formula>OR($AH$21&gt;0,$AJ$21&gt;0)</formula>
    </cfRule>
  </conditionalFormatting>
  <conditionalFormatting sqref="A93">
    <cfRule type="expression" dxfId="297" priority="99" stopIfTrue="1">
      <formula>OR($AH$22&gt;0,$AJ$22&gt;0)</formula>
    </cfRule>
  </conditionalFormatting>
  <conditionalFormatting sqref="A94">
    <cfRule type="expression" dxfId="296" priority="98" stopIfTrue="1">
      <formula>OR($AH$23&gt;0,$AJ$23&gt;0)</formula>
    </cfRule>
  </conditionalFormatting>
  <conditionalFormatting sqref="A95">
    <cfRule type="expression" dxfId="295" priority="97" stopIfTrue="1">
      <formula>OR($AH$24&gt;0,$AJ$24&gt;0)</formula>
    </cfRule>
  </conditionalFormatting>
  <conditionalFormatting sqref="A96">
    <cfRule type="expression" dxfId="294" priority="96" stopIfTrue="1">
      <formula>OR($AH$25&gt;0,$AJ$25&gt;0)</formula>
    </cfRule>
  </conditionalFormatting>
  <conditionalFormatting sqref="A97">
    <cfRule type="expression" dxfId="293" priority="95" stopIfTrue="1">
      <formula>OR($AH$26&gt;0,$AJ$26&gt;0)</formula>
    </cfRule>
  </conditionalFormatting>
  <conditionalFormatting sqref="A98">
    <cfRule type="expression" dxfId="292" priority="94" stopIfTrue="1">
      <formula>OR($AH$27&gt;0,$AJ$27&gt;0)</formula>
    </cfRule>
  </conditionalFormatting>
  <conditionalFormatting sqref="A99">
    <cfRule type="expression" dxfId="291" priority="93" stopIfTrue="1">
      <formula>OR($AH$28&gt;0,$AJ$28&gt;0)</formula>
    </cfRule>
  </conditionalFormatting>
  <conditionalFormatting sqref="A29">
    <cfRule type="expression" dxfId="290" priority="92" stopIfTrue="1">
      <formula>OR($AH$35&gt;0,$AJ$35&gt;0)</formula>
    </cfRule>
  </conditionalFormatting>
  <conditionalFormatting sqref="A104">
    <cfRule type="expression" dxfId="289" priority="90" stopIfTrue="1">
      <formula>OR($AH$37&gt;0,$AJ$37&gt;0)</formula>
    </cfRule>
  </conditionalFormatting>
  <conditionalFormatting sqref="A105">
    <cfRule type="expression" dxfId="288" priority="89" stopIfTrue="1">
      <formula>OR($AH$38&gt;0,$AJ$38&gt;0)</formula>
    </cfRule>
  </conditionalFormatting>
  <conditionalFormatting sqref="A106">
    <cfRule type="expression" dxfId="287" priority="88" stopIfTrue="1">
      <formula>OR($AH$39&gt;0,$AJ$39&gt;0)</formula>
    </cfRule>
  </conditionalFormatting>
  <conditionalFormatting sqref="A111 A119">
    <cfRule type="expression" dxfId="286" priority="85" stopIfTrue="1">
      <formula>OR($AH$45&gt;0,$AJ$45&gt;0)</formula>
    </cfRule>
  </conditionalFormatting>
  <conditionalFormatting sqref="A112">
    <cfRule type="expression" dxfId="285" priority="84" stopIfTrue="1">
      <formula>OR($AH$46&gt;0,$AJ$46&gt;0)</formula>
    </cfRule>
  </conditionalFormatting>
  <conditionalFormatting sqref="A113">
    <cfRule type="expression" dxfId="284" priority="83" stopIfTrue="1">
      <formula>OR($AH$47&gt;0,$AJ$47&gt;0)</formula>
    </cfRule>
  </conditionalFormatting>
  <conditionalFormatting sqref="A114">
    <cfRule type="expression" dxfId="283" priority="82" stopIfTrue="1">
      <formula>OR($AH$48&gt;0,$AJ$48&gt;0)</formula>
    </cfRule>
  </conditionalFormatting>
  <conditionalFormatting sqref="A115">
    <cfRule type="expression" dxfId="282" priority="81" stopIfTrue="1">
      <formula>OR($AH$49&gt;0,$AJ$49&gt;0)</formula>
    </cfRule>
  </conditionalFormatting>
  <conditionalFormatting sqref="A116">
    <cfRule type="expression" dxfId="281" priority="80" stopIfTrue="1">
      <formula>OR($AH$50&gt;0,$AJ$50&gt;0)</formula>
    </cfRule>
  </conditionalFormatting>
  <conditionalFormatting sqref="A28">
    <cfRule type="expression" dxfId="280" priority="125" stopIfTrue="1">
      <formula>OR($AH$34&gt;0,$AJ$34&gt;0)</formula>
    </cfRule>
  </conditionalFormatting>
  <conditionalFormatting sqref="A30">
    <cfRule type="expression" dxfId="279" priority="127" stopIfTrue="1">
      <formula>OR($AH$42&gt;0,$AJ$42&gt;0)</formula>
    </cfRule>
  </conditionalFormatting>
  <conditionalFormatting sqref="A51">
    <cfRule type="expression" dxfId="278" priority="128" stopIfTrue="1">
      <formula>OR($AH$54&gt;0,$AJ$54&gt;0)</formula>
    </cfRule>
  </conditionalFormatting>
  <conditionalFormatting sqref="A100">
    <cfRule type="expression" dxfId="277" priority="143" stopIfTrue="1">
      <formula>OR($AH$29&gt;0,$AJ$29&gt;0)</formula>
    </cfRule>
  </conditionalFormatting>
  <conditionalFormatting sqref="A101">
    <cfRule type="expression" dxfId="276" priority="144" stopIfTrue="1">
      <formula>OR($AH$30&gt;0,$AJ$30&gt;0)</formula>
    </cfRule>
  </conditionalFormatting>
  <conditionalFormatting sqref="A108">
    <cfRule type="expression" dxfId="275" priority="149" stopIfTrue="1">
      <formula>OR($AH$41&gt;0,$AJ$41&gt;0)</formula>
    </cfRule>
  </conditionalFormatting>
  <conditionalFormatting sqref="A117">
    <cfRule type="expression" dxfId="274" priority="156" stopIfTrue="1">
      <formula>OR($AH$51&gt;0,$AJ$51&gt;0)</formula>
    </cfRule>
  </conditionalFormatting>
  <conditionalFormatting sqref="E24:E25">
    <cfRule type="expression" dxfId="273" priority="159" stopIfTrue="1">
      <formula>$AC$31&gt;0</formula>
    </cfRule>
  </conditionalFormatting>
  <conditionalFormatting sqref="F24:F25">
    <cfRule type="expression" dxfId="272" priority="160" stopIfTrue="1">
      <formula>$AD$31&gt;0</formula>
    </cfRule>
  </conditionalFormatting>
  <conditionalFormatting sqref="G24:G25">
    <cfRule type="expression" dxfId="271" priority="161" stopIfTrue="1">
      <formula>$AE$31&gt;0</formula>
    </cfRule>
  </conditionalFormatting>
  <conditionalFormatting sqref="H24:H25">
    <cfRule type="expression" dxfId="270" priority="162" stopIfTrue="1">
      <formula>$AF$31&gt;0</formula>
    </cfRule>
  </conditionalFormatting>
  <conditionalFormatting sqref="I24:I25">
    <cfRule type="expression" dxfId="269" priority="163" stopIfTrue="1">
      <formula>$AG$31&gt;0</formula>
    </cfRule>
  </conditionalFormatting>
  <conditionalFormatting sqref="E30 E109">
    <cfRule type="expression" dxfId="268" priority="164" stopIfTrue="1">
      <formula>$AC$42&gt;0</formula>
    </cfRule>
  </conditionalFormatting>
  <conditionalFormatting sqref="F30 F109">
    <cfRule type="expression" dxfId="267" priority="165" stopIfTrue="1">
      <formula>$AD$42&gt;0</formula>
    </cfRule>
  </conditionalFormatting>
  <conditionalFormatting sqref="G30 G109">
    <cfRule type="expression" dxfId="266" priority="166" stopIfTrue="1">
      <formula>$AE$42&gt;0</formula>
    </cfRule>
  </conditionalFormatting>
  <conditionalFormatting sqref="H30 H109">
    <cfRule type="expression" dxfId="265" priority="167" stopIfTrue="1">
      <formula>$AF$42&gt;0</formula>
    </cfRule>
  </conditionalFormatting>
  <conditionalFormatting sqref="I30 I109">
    <cfRule type="expression" dxfId="264" priority="168" stopIfTrue="1">
      <formula>$AG$42&gt;0</formula>
    </cfRule>
  </conditionalFormatting>
  <conditionalFormatting sqref="E51 E120">
    <cfRule type="expression" dxfId="263" priority="169" stopIfTrue="1">
      <formula>$AC$54&gt;0</formula>
    </cfRule>
  </conditionalFormatting>
  <conditionalFormatting sqref="F51 F120">
    <cfRule type="expression" dxfId="262" priority="170" stopIfTrue="1">
      <formula>$AD$54&gt;0</formula>
    </cfRule>
  </conditionalFormatting>
  <conditionalFormatting sqref="G51 G120">
    <cfRule type="expression" dxfId="261" priority="171" stopIfTrue="1">
      <formula>$AE$54&gt;0</formula>
    </cfRule>
  </conditionalFormatting>
  <conditionalFormatting sqref="H51 H120">
    <cfRule type="expression" dxfId="260" priority="172" stopIfTrue="1">
      <formula>$AF$54&gt;0</formula>
    </cfRule>
  </conditionalFormatting>
  <conditionalFormatting sqref="I51 I120">
    <cfRule type="expression" dxfId="259" priority="173" stopIfTrue="1">
      <formula>$AG$54&gt;0</formula>
    </cfRule>
  </conditionalFormatting>
  <conditionalFormatting sqref="E102">
    <cfRule type="expression" dxfId="258" priority="174" stopIfTrue="1">
      <formula>$AC$32&gt;0</formula>
    </cfRule>
  </conditionalFormatting>
  <conditionalFormatting sqref="F102">
    <cfRule type="expression" dxfId="257" priority="175" stopIfTrue="1">
      <formula>$AD$32&gt;0</formula>
    </cfRule>
  </conditionalFormatting>
  <conditionalFormatting sqref="G102">
    <cfRule type="expression" dxfId="256" priority="176" stopIfTrue="1">
      <formula>$AE$32&gt;0</formula>
    </cfRule>
  </conditionalFormatting>
  <conditionalFormatting sqref="H102">
    <cfRule type="expression" dxfId="255" priority="177" stopIfTrue="1">
      <formula>$AF$32&gt;0</formula>
    </cfRule>
  </conditionalFormatting>
  <conditionalFormatting sqref="I102">
    <cfRule type="expression" dxfId="254" priority="178" stopIfTrue="1">
      <formula>$AG$32&gt;0</formula>
    </cfRule>
  </conditionalFormatting>
  <conditionalFormatting sqref="A12">
    <cfRule type="expression" dxfId="253" priority="183" stopIfTrue="1">
      <formula>OR($AH$32&gt;0,$AJ$32&gt;0)</formula>
    </cfRule>
  </conditionalFormatting>
  <conditionalFormatting sqref="D8">
    <cfRule type="expression" dxfId="252" priority="48" stopIfTrue="1">
      <formula>$AJ$8&gt;0</formula>
    </cfRule>
  </conditionalFormatting>
  <conditionalFormatting sqref="D9">
    <cfRule type="expression" dxfId="251" priority="47" stopIfTrue="1">
      <formula>$AJ$9&gt;0</formula>
    </cfRule>
  </conditionalFormatting>
  <conditionalFormatting sqref="D10">
    <cfRule type="expression" dxfId="250" priority="46" stopIfTrue="1">
      <formula>$AJ$10&gt;0</formula>
    </cfRule>
  </conditionalFormatting>
  <conditionalFormatting sqref="D11">
    <cfRule type="expression" dxfId="249" priority="45" stopIfTrue="1">
      <formula>$AJ$11&gt;0</formula>
    </cfRule>
  </conditionalFormatting>
  <conditionalFormatting sqref="D86">
    <cfRule type="expression" dxfId="248" priority="44" stopIfTrue="1">
      <formula>$AJ$15&gt;0</formula>
    </cfRule>
  </conditionalFormatting>
  <conditionalFormatting sqref="D87">
    <cfRule type="expression" dxfId="247" priority="43" stopIfTrue="1">
      <formula>$AJ$16&gt;0</formula>
    </cfRule>
  </conditionalFormatting>
  <conditionalFormatting sqref="D88">
    <cfRule type="expression" dxfId="246" priority="42" stopIfTrue="1">
      <formula>$AJ$17&gt;0</formula>
    </cfRule>
  </conditionalFormatting>
  <conditionalFormatting sqref="D89">
    <cfRule type="expression" dxfId="245" priority="41" stopIfTrue="1">
      <formula>$AJ$18&gt;0</formula>
    </cfRule>
  </conditionalFormatting>
  <conditionalFormatting sqref="D90">
    <cfRule type="expression" dxfId="244" priority="40" stopIfTrue="1">
      <formula>$AJ$19&gt;0</formula>
    </cfRule>
  </conditionalFormatting>
  <conditionalFormatting sqref="D91">
    <cfRule type="expression" dxfId="243" priority="39" stopIfTrue="1">
      <formula>$AJ$20&gt;0</formula>
    </cfRule>
  </conditionalFormatting>
  <conditionalFormatting sqref="D92">
    <cfRule type="expression" dxfId="242" priority="38" stopIfTrue="1">
      <formula>$AJ$21&gt;0</formula>
    </cfRule>
  </conditionalFormatting>
  <conditionalFormatting sqref="D93">
    <cfRule type="expression" dxfId="241" priority="37" stopIfTrue="1">
      <formula>$AJ$22&gt;0</formula>
    </cfRule>
  </conditionalFormatting>
  <conditionalFormatting sqref="D94">
    <cfRule type="expression" dxfId="240" priority="36" stopIfTrue="1">
      <formula>$AJ$23&gt;0</formula>
    </cfRule>
  </conditionalFormatting>
  <conditionalFormatting sqref="D95">
    <cfRule type="expression" dxfId="239" priority="35" stopIfTrue="1">
      <formula>$AJ$24&gt;0</formula>
    </cfRule>
  </conditionalFormatting>
  <conditionalFormatting sqref="D96">
    <cfRule type="expression" dxfId="238" priority="34" stopIfTrue="1">
      <formula>$AJ$25&gt;0</formula>
    </cfRule>
  </conditionalFormatting>
  <conditionalFormatting sqref="D97">
    <cfRule type="expression" dxfId="237" priority="33" stopIfTrue="1">
      <formula>$AJ$26&gt;0</formula>
    </cfRule>
  </conditionalFormatting>
  <conditionalFormatting sqref="D98">
    <cfRule type="expression" dxfId="236" priority="32" stopIfTrue="1">
      <formula>$AJ$27&gt;0</formula>
    </cfRule>
  </conditionalFormatting>
  <conditionalFormatting sqref="D99">
    <cfRule type="expression" dxfId="235" priority="31" stopIfTrue="1">
      <formula>$AJ$28&gt;0</formula>
    </cfRule>
  </conditionalFormatting>
  <conditionalFormatting sqref="D100">
    <cfRule type="expression" dxfId="234" priority="30" stopIfTrue="1">
      <formula>$AJ$29&gt;0</formula>
    </cfRule>
  </conditionalFormatting>
  <conditionalFormatting sqref="D101">
    <cfRule type="expression" dxfId="233" priority="29" stopIfTrue="1">
      <formula>$AJ$30&gt;0</formula>
    </cfRule>
  </conditionalFormatting>
  <conditionalFormatting sqref="D102">
    <cfRule type="expression" dxfId="232" priority="28" stopIfTrue="1">
      <formula>$AJ$32&gt;0</formula>
    </cfRule>
  </conditionalFormatting>
  <conditionalFormatting sqref="D104">
    <cfRule type="expression" dxfId="231" priority="27" stopIfTrue="1">
      <formula>$AJ$37&gt;0</formula>
    </cfRule>
  </conditionalFormatting>
  <conditionalFormatting sqref="D105">
    <cfRule type="expression" dxfId="230" priority="26" stopIfTrue="1">
      <formula>$AJ$38&gt;0</formula>
    </cfRule>
  </conditionalFormatting>
  <conditionalFormatting sqref="D106">
    <cfRule type="expression" dxfId="229" priority="25" stopIfTrue="1">
      <formula>$AJ$39&gt;0</formula>
    </cfRule>
  </conditionalFormatting>
  <conditionalFormatting sqref="D107">
    <cfRule type="expression" dxfId="228" priority="24" stopIfTrue="1">
      <formula>$AJ$40&gt;0</formula>
    </cfRule>
  </conditionalFormatting>
  <conditionalFormatting sqref="D108">
    <cfRule type="expression" dxfId="227" priority="23" stopIfTrue="1">
      <formula>$AJ$40&gt;0</formula>
    </cfRule>
  </conditionalFormatting>
  <conditionalFormatting sqref="D109">
    <cfRule type="expression" dxfId="226" priority="22" stopIfTrue="1">
      <formula>$AJ$42&gt;0</formula>
    </cfRule>
  </conditionalFormatting>
  <conditionalFormatting sqref="D111">
    <cfRule type="expression" dxfId="225" priority="21" stopIfTrue="1">
      <formula>$AJ$45&gt;0</formula>
    </cfRule>
  </conditionalFormatting>
  <conditionalFormatting sqref="D112">
    <cfRule type="expression" dxfId="224" priority="20" stopIfTrue="1">
      <formula>$AJ$46&gt;0</formula>
    </cfRule>
  </conditionalFormatting>
  <conditionalFormatting sqref="D113">
    <cfRule type="expression" dxfId="223" priority="19" stopIfTrue="1">
      <formula>$AJ$47&gt;0</formula>
    </cfRule>
  </conditionalFormatting>
  <conditionalFormatting sqref="D114">
    <cfRule type="expression" dxfId="222" priority="18" stopIfTrue="1">
      <formula>$AJ$48&gt;0</formula>
    </cfRule>
  </conditionalFormatting>
  <conditionalFormatting sqref="D115">
    <cfRule type="expression" dxfId="221" priority="17" stopIfTrue="1">
      <formula>$AJ$49&gt;0</formula>
    </cfRule>
  </conditionalFormatting>
  <conditionalFormatting sqref="D116">
    <cfRule type="expression" dxfId="220" priority="16" stopIfTrue="1">
      <formula>$AJ$50&gt;0</formula>
    </cfRule>
  </conditionalFormatting>
  <conditionalFormatting sqref="D117">
    <cfRule type="expression" dxfId="219" priority="15" stopIfTrue="1">
      <formula>$AJ$51&gt;0</formula>
    </cfRule>
  </conditionalFormatting>
  <conditionalFormatting sqref="D118">
    <cfRule type="expression" dxfId="218" priority="14" stopIfTrue="1">
      <formula>$AJ$52&gt;0</formula>
    </cfRule>
  </conditionalFormatting>
  <conditionalFormatting sqref="D119">
    <cfRule type="expression" dxfId="217" priority="13" stopIfTrue="1">
      <formula>$AJ$53&gt;0</formula>
    </cfRule>
  </conditionalFormatting>
  <conditionalFormatting sqref="D120">
    <cfRule type="expression" dxfId="216" priority="12" stopIfTrue="1">
      <formula>$AJ$54&gt;0</formula>
    </cfRule>
  </conditionalFormatting>
  <conditionalFormatting sqref="D12">
    <cfRule type="expression" dxfId="215" priority="11" stopIfTrue="1">
      <formula>$AJ$32&gt;0</formula>
    </cfRule>
  </conditionalFormatting>
  <conditionalFormatting sqref="D28">
    <cfRule type="expression" dxfId="214" priority="10" stopIfTrue="1">
      <formula>$AJ$34&gt;0</formula>
    </cfRule>
  </conditionalFormatting>
  <conditionalFormatting sqref="D29">
    <cfRule type="expression" dxfId="213" priority="9" stopIfTrue="1">
      <formula>$AJ$35&gt;0</formula>
    </cfRule>
  </conditionalFormatting>
  <conditionalFormatting sqref="D30">
    <cfRule type="expression" dxfId="212" priority="8" stopIfTrue="1">
      <formula>$AJ$42&gt;0</formula>
    </cfRule>
  </conditionalFormatting>
  <conditionalFormatting sqref="D51">
    <cfRule type="expression" dxfId="211" priority="7" stopIfTrue="1">
      <formula>$AJ$54&gt;0</formula>
    </cfRule>
  </conditionalFormatting>
  <conditionalFormatting sqref="E12">
    <cfRule type="expression" dxfId="210" priority="6" stopIfTrue="1">
      <formula>$AC$32&gt;0</formula>
    </cfRule>
  </conditionalFormatting>
  <conditionalFormatting sqref="F12">
    <cfRule type="expression" dxfId="209" priority="5" stopIfTrue="1">
      <formula>$AD$32&gt;0</formula>
    </cfRule>
  </conditionalFormatting>
  <conditionalFormatting sqref="G12">
    <cfRule type="expression" dxfId="208" priority="4" stopIfTrue="1">
      <formula>$AE$32&gt;0</formula>
    </cfRule>
  </conditionalFormatting>
  <conditionalFormatting sqref="H12">
    <cfRule type="expression" dxfId="207" priority="3" stopIfTrue="1">
      <formula>$AF$32&gt;0</formula>
    </cfRule>
  </conditionalFormatting>
  <conditionalFormatting sqref="I12">
    <cfRule type="expression" dxfId="206" priority="2" stopIfTrue="1">
      <formula>$AG$32&gt;0</formula>
    </cfRule>
  </conditionalFormatting>
  <conditionalFormatting sqref="D24:D25">
    <cfRule type="expression" dxfId="205" priority="1" stopIfTrue="1">
      <formula>$AJ$31&gt;0</formula>
    </cfRule>
  </conditionalFormatting>
  <printOptions horizontalCentered="1" verticalCentered="1"/>
  <pageMargins left="0.5" right="0.5" top="0.5" bottom="0.5" header="0" footer="0"/>
  <pageSetup scale="60" fitToHeight="0" orientation="portrait" blackAndWhite="1" horizontalDpi="300" verticalDpi="300" r:id="rId1"/>
  <headerFooter alignWithMargins="0"/>
  <rowBreaks count="1" manualBreakCount="1">
    <brk id="120" max="13" man="1"/>
  </rowBreaks>
  <ignoredErrors>
    <ignoredError sqref="K48 J12:J13 K78:K79 K81 K62 N126 N129 N132 N135 N138 N141 N144 N147 N150 N153 N156 N159 N162 N165 N168 N171 N174 N177 N180" formula="1"/>
    <ignoredError sqref="O105:O10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AJ183"/>
  <sheetViews>
    <sheetView zoomScaleNormal="100" workbookViewId="0">
      <pane ySplit="6" topLeftCell="A7" activePane="bottomLeft" state="frozen"/>
      <selection pane="bottomLeft" sqref="A1:C1"/>
      <selection activeCell="A26" sqref="A26"/>
    </sheetView>
  </sheetViews>
  <sheetFormatPr defaultColWidth="9.140625" defaultRowHeight="12.75"/>
  <cols>
    <col min="1" max="1" width="8.28515625" style="223" customWidth="1"/>
    <col min="2" max="2" width="6.7109375" style="223"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42578125" customWidth="1"/>
    <col min="19" max="19" width="9.140625" customWidth="1"/>
    <col min="20" max="26" width="9.140625" hidden="1" customWidth="1"/>
    <col min="27" max="36" width="9.140625" customWidth="1"/>
  </cols>
  <sheetData>
    <row r="1" spans="1:36" ht="30.6" customHeight="1">
      <c r="A1" s="729" t="s">
        <v>684</v>
      </c>
      <c r="B1" s="1047"/>
      <c r="C1" s="1028"/>
      <c r="D1" s="729" t="s">
        <v>434</v>
      </c>
      <c r="E1" s="842"/>
      <c r="F1" s="842"/>
      <c r="G1" s="842"/>
      <c r="H1" s="842"/>
      <c r="I1" s="842"/>
      <c r="J1" s="842"/>
      <c r="K1" s="842"/>
      <c r="L1" s="842"/>
      <c r="M1" s="842"/>
      <c r="N1" s="843"/>
      <c r="O1" s="846" t="str">
        <f>Instructions!A42</f>
        <v>ORA Budget Form Revised  10/15/24</v>
      </c>
      <c r="P1" s="847"/>
      <c r="Q1" s="847"/>
    </row>
    <row r="2" spans="1:36" ht="12.95" customHeight="1">
      <c r="A2" s="943" t="s">
        <v>435</v>
      </c>
      <c r="B2" s="1056"/>
      <c r="C2" s="192" t="s">
        <v>436</v>
      </c>
      <c r="D2" s="863" t="str">
        <f>IF(Sponsor!D2 = "", "", Sponsor!D2)</f>
        <v/>
      </c>
      <c r="E2" s="1048"/>
      <c r="F2" s="1048"/>
      <c r="G2" s="1049"/>
      <c r="H2" s="777" t="str">
        <f>UMYr1!H2</f>
        <v>People Soft Project #:</v>
      </c>
      <c r="I2" s="777"/>
      <c r="J2" s="779"/>
      <c r="K2" s="854" t="str">
        <f>IF(Sponsor!H2 = "", "", Sponsor!H2)</f>
        <v/>
      </c>
      <c r="L2" s="866"/>
      <c r="M2" s="567"/>
      <c r="N2" s="558"/>
      <c r="O2" s="988" t="s">
        <v>636</v>
      </c>
      <c r="P2" s="969"/>
      <c r="Q2" s="930"/>
    </row>
    <row r="3" spans="1:36" ht="12.95" customHeight="1">
      <c r="A3" s="944" t="s">
        <v>439</v>
      </c>
      <c r="B3" s="945"/>
      <c r="C3" s="21" t="s">
        <v>440</v>
      </c>
      <c r="D3" s="854" t="str">
        <f>IF(Sponsor!D3 = "", "", Sponsor!D3)</f>
        <v/>
      </c>
      <c r="E3" s="855"/>
      <c r="F3" s="855"/>
      <c r="G3" s="856"/>
      <c r="H3" s="777" t="s">
        <v>637</v>
      </c>
      <c r="I3" s="777"/>
      <c r="J3" s="779"/>
      <c r="K3" s="854" t="str">
        <f>IF(Sponsor!H3 = "", "", Sponsor!H3)</f>
        <v/>
      </c>
      <c r="L3" s="866"/>
      <c r="M3" s="568"/>
      <c r="N3" s="39"/>
      <c r="O3" s="971"/>
      <c r="P3" s="971"/>
      <c r="Q3" s="933"/>
    </row>
    <row r="4" spans="1:36" ht="12.95" customHeight="1">
      <c r="A4" s="864" t="str">
        <f>IF(Sponsor!A4 = "", "", Sponsor!A4)</f>
        <v/>
      </c>
      <c r="B4" s="865"/>
      <c r="C4" s="22" t="s">
        <v>638</v>
      </c>
      <c r="D4" s="854" t="str">
        <f>IF(Sponsor!D4="","",Sponsor!D4)</f>
        <v/>
      </c>
      <c r="E4" s="946"/>
      <c r="F4" s="864" t="str">
        <f>IF(Sponsor!E4="","",Sponsor!E4)</f>
        <v/>
      </c>
      <c r="G4" s="905"/>
      <c r="H4" s="777" t="s">
        <v>639</v>
      </c>
      <c r="I4" s="777"/>
      <c r="J4" s="779"/>
      <c r="K4" s="854" t="str">
        <f>IF(Sponsor!H4 = "", "", Sponsor!H4)</f>
        <v/>
      </c>
      <c r="L4" s="866"/>
      <c r="M4" s="567"/>
      <c r="N4" s="558"/>
      <c r="O4" s="973"/>
      <c r="P4" s="973"/>
      <c r="Q4" s="936"/>
    </row>
    <row r="5" spans="1:36" ht="12.95" customHeight="1">
      <c r="A5" s="938" t="s">
        <v>445</v>
      </c>
      <c r="B5" s="983" t="s">
        <v>446</v>
      </c>
      <c r="C5" s="801" t="s">
        <v>447</v>
      </c>
      <c r="D5" s="797" t="s">
        <v>433</v>
      </c>
      <c r="E5" s="857" t="s">
        <v>640</v>
      </c>
      <c r="F5" s="858"/>
      <c r="G5" s="858"/>
      <c r="H5" s="858"/>
      <c r="I5" s="858"/>
      <c r="J5" s="853"/>
      <c r="K5" s="848" t="s">
        <v>641</v>
      </c>
      <c r="L5" s="852" t="s">
        <v>642</v>
      </c>
      <c r="M5" s="853"/>
      <c r="N5" s="848" t="s">
        <v>643</v>
      </c>
      <c r="O5" s="989" t="s">
        <v>644</v>
      </c>
      <c r="P5" s="850" t="s">
        <v>645</v>
      </c>
      <c r="Q5" s="850" t="s">
        <v>641</v>
      </c>
    </row>
    <row r="6" spans="1:36" ht="12.95" customHeight="1">
      <c r="A6" s="849"/>
      <c r="B6" s="861"/>
      <c r="C6" s="787"/>
      <c r="D6" s="798"/>
      <c r="E6" s="679" t="str">
        <f>UMYr1!E6</f>
        <v/>
      </c>
      <c r="F6" s="679" t="str">
        <f>UMYr1!F6</f>
        <v/>
      </c>
      <c r="G6" s="679" t="str">
        <f>UMYr1!G6</f>
        <v/>
      </c>
      <c r="H6" s="679" t="str">
        <f>UMYr1!H6</f>
        <v/>
      </c>
      <c r="I6" s="679" t="str">
        <f>UMYr1!I6</f>
        <v/>
      </c>
      <c r="J6" s="687" t="s">
        <v>646</v>
      </c>
      <c r="K6" s="849"/>
      <c r="L6" s="19" t="str">
        <f>UMYr1!L6</f>
        <v>3rd Party</v>
      </c>
      <c r="M6" s="20" t="str">
        <f>UMYr1!M6</f>
        <v>Other</v>
      </c>
      <c r="N6" s="849"/>
      <c r="O6" s="990"/>
      <c r="P6" s="851"/>
      <c r="Q6" s="928"/>
    </row>
    <row r="7" spans="1:36" ht="12.95" customHeight="1">
      <c r="A7" s="155" t="str">
        <f>IF(UMYr3!A7&lt;&gt;"",UMYr3!A7,"")</f>
        <v/>
      </c>
      <c r="B7" s="82" t="str">
        <f>IF(UMYr1!B7="","",UMYr1!B7)</f>
        <v>SENIOR PERSONNEL - names and account codes must be entered in Sponsor tab</v>
      </c>
      <c r="C7" s="28"/>
      <c r="D7" s="28"/>
      <c r="E7" s="28"/>
      <c r="F7" s="28"/>
      <c r="G7" s="28"/>
      <c r="H7" s="28"/>
      <c r="I7" s="28"/>
      <c r="J7" s="28"/>
      <c r="K7" s="28"/>
      <c r="L7" s="28"/>
      <c r="M7" s="28"/>
      <c r="N7" s="190"/>
      <c r="O7" s="1067"/>
      <c r="P7" s="1047"/>
      <c r="Q7" s="1028"/>
      <c r="S7" s="200"/>
      <c r="T7" s="197"/>
      <c r="U7" s="443"/>
      <c r="V7" s="443"/>
      <c r="W7" s="443"/>
      <c r="X7" s="443"/>
      <c r="Y7" s="443"/>
      <c r="Z7" s="443"/>
      <c r="AA7" s="63"/>
    </row>
    <row r="8" spans="1:36" ht="12.95" customHeight="1">
      <c r="A8" s="679" t="str">
        <f>IF(UMYr3!A8&lt;&gt;"",UMYr3!A8,"")</f>
        <v/>
      </c>
      <c r="B8" s="679" t="str">
        <f>IF(UMYr3!B8&lt;&gt;"",UMYr3!B8,"")</f>
        <v/>
      </c>
      <c r="C8" s="680" t="str">
        <f>IF(UMYr1!C8="","",UMYr1!C8)</f>
        <v/>
      </c>
      <c r="D8" s="105">
        <f>Sponsor!G8</f>
        <v>0</v>
      </c>
      <c r="E8" s="7"/>
      <c r="F8" s="7"/>
      <c r="G8" s="7"/>
      <c r="H8" s="7"/>
      <c r="I8" s="7"/>
      <c r="J8" s="29">
        <f t="shared" ref="J8:J13" si="0">SUM(E8:I8)</f>
        <v>0</v>
      </c>
      <c r="K8" s="30">
        <f>D8+J8</f>
        <v>0</v>
      </c>
      <c r="L8" s="7"/>
      <c r="M8" s="7"/>
      <c r="N8" s="30">
        <f t="shared" ref="N8:N13" si="1">SUM(K8:M8)</f>
        <v>0</v>
      </c>
      <c r="O8" s="263">
        <f>UMYr1!D8+UMYr2!D8+UMYr3!D8+UMYr4!D8+UMYr5!D8</f>
        <v>0</v>
      </c>
      <c r="P8" s="264">
        <f>UMYr1!J8+UMYr2!J8+UMYr3!J8+UMYr4!J8+UMYr5!J8</f>
        <v>0</v>
      </c>
      <c r="Q8" s="265">
        <f t="shared" ref="Q8:Q13" si="2">O8+P8</f>
        <v>0</v>
      </c>
      <c r="S8" s="197"/>
      <c r="T8" s="197"/>
      <c r="U8" s="146"/>
      <c r="V8" s="146"/>
      <c r="W8" s="146"/>
      <c r="X8" s="146"/>
      <c r="Y8" s="146"/>
      <c r="Z8" s="146"/>
      <c r="AC8" s="198"/>
      <c r="AD8" s="198"/>
      <c r="AE8" s="198"/>
      <c r="AF8" s="198"/>
      <c r="AG8" s="198"/>
      <c r="AH8" s="198"/>
      <c r="AJ8" s="198"/>
    </row>
    <row r="9" spans="1:36" ht="12.95" customHeight="1">
      <c r="A9" s="679" t="str">
        <f>IF(UMYr3!A9&lt;&gt;"",UMYr3!A9,"")</f>
        <v/>
      </c>
      <c r="B9" s="679" t="str">
        <f>IF(UMYr3!B9&lt;&gt;"",UMYr3!B9,"")</f>
        <v/>
      </c>
      <c r="C9" s="680" t="str">
        <f>IF(UMYr1!C9="","",UMYr1!C9)</f>
        <v/>
      </c>
      <c r="D9" s="106">
        <f>Sponsor!G9</f>
        <v>0</v>
      </c>
      <c r="E9" s="8"/>
      <c r="F9" s="8"/>
      <c r="G9" s="8"/>
      <c r="H9" s="8"/>
      <c r="I9" s="8"/>
      <c r="J9" s="31">
        <f t="shared" si="0"/>
        <v>0</v>
      </c>
      <c r="K9" s="32">
        <f>D9+J9</f>
        <v>0</v>
      </c>
      <c r="L9" s="8"/>
      <c r="M9" s="8"/>
      <c r="N9" s="32">
        <f t="shared" si="1"/>
        <v>0</v>
      </c>
      <c r="O9" s="263">
        <f>UMYr1!D9+UMYr2!D9+UMYr3!D9+UMYr4!D9+UMYr5!D9</f>
        <v>0</v>
      </c>
      <c r="P9" s="264">
        <f>UMYr1!J9+UMYr2!J9+UMYr3!J9+UMYr4!J9+UMYr5!J9</f>
        <v>0</v>
      </c>
      <c r="Q9" s="266">
        <f t="shared" si="2"/>
        <v>0</v>
      </c>
      <c r="S9" s="197"/>
      <c r="T9" s="197"/>
      <c r="U9" s="146"/>
      <c r="V9" s="146"/>
      <c r="W9" s="146"/>
      <c r="X9" s="146"/>
      <c r="Y9" s="146"/>
      <c r="Z9" s="146"/>
      <c r="AC9" s="198"/>
      <c r="AD9" s="198"/>
      <c r="AE9" s="198"/>
      <c r="AF9" s="198"/>
      <c r="AG9" s="198"/>
      <c r="AH9" s="198"/>
      <c r="AJ9" s="198"/>
    </row>
    <row r="10" spans="1:36" ht="12.95" customHeight="1">
      <c r="A10" s="679" t="str">
        <f>IF(UMYr3!A10&lt;&gt;"",UMYr3!A10,"")</f>
        <v/>
      </c>
      <c r="B10" s="679" t="str">
        <f>IF(UMYr3!B10&lt;&gt;"",UMYr3!B10,"")</f>
        <v/>
      </c>
      <c r="C10" s="680" t="str">
        <f>IF(UMYr1!C10="","",UMYr1!C10)</f>
        <v/>
      </c>
      <c r="D10" s="106">
        <f>Sponsor!G10</f>
        <v>0</v>
      </c>
      <c r="E10" s="8"/>
      <c r="F10" s="8"/>
      <c r="G10" s="8"/>
      <c r="H10" s="8"/>
      <c r="I10" s="8"/>
      <c r="J10" s="31">
        <f t="shared" si="0"/>
        <v>0</v>
      </c>
      <c r="K10" s="32">
        <f>D10+J10</f>
        <v>0</v>
      </c>
      <c r="L10" s="8"/>
      <c r="M10" s="8"/>
      <c r="N10" s="32">
        <f t="shared" si="1"/>
        <v>0</v>
      </c>
      <c r="O10" s="263">
        <f>UMYr1!D10+UMYr2!D10+UMYr3!D10+UMYr4!D10+UMYr5!D10</f>
        <v>0</v>
      </c>
      <c r="P10" s="264">
        <f>UMYr1!J10+UMYr2!J10+UMYr3!J10+UMYr4!J10+UMYr5!J10</f>
        <v>0</v>
      </c>
      <c r="Q10" s="266">
        <f t="shared" si="2"/>
        <v>0</v>
      </c>
      <c r="S10" s="197"/>
      <c r="T10" s="197"/>
      <c r="U10" s="146"/>
      <c r="V10" s="146"/>
      <c r="W10" s="146"/>
      <c r="X10" s="146"/>
      <c r="Y10" s="146"/>
      <c r="Z10" s="146"/>
      <c r="AA10" s="146"/>
      <c r="AC10" s="198"/>
      <c r="AD10" s="198"/>
      <c r="AE10" s="198"/>
      <c r="AF10" s="198"/>
      <c r="AG10" s="198"/>
      <c r="AH10" s="198"/>
      <c r="AJ10" s="198"/>
    </row>
    <row r="11" spans="1:36" ht="12.95" customHeight="1">
      <c r="A11" s="679" t="str">
        <f>IF(UMYr3!A11&lt;&gt;"",UMYr3!A11,"")</f>
        <v/>
      </c>
      <c r="B11" s="679" t="str">
        <f>IF(UMYr3!B11&lt;&gt;"",UMYr3!B11,"")</f>
        <v/>
      </c>
      <c r="C11" s="680" t="str">
        <f>IF(UMYr1!C11="","",UMYr1!C11)</f>
        <v/>
      </c>
      <c r="D11" s="106">
        <f>Sponsor!G11</f>
        <v>0</v>
      </c>
      <c r="E11" s="8"/>
      <c r="F11" s="8"/>
      <c r="G11" s="8"/>
      <c r="H11" s="8"/>
      <c r="I11" s="8"/>
      <c r="J11" s="31">
        <f t="shared" si="0"/>
        <v>0</v>
      </c>
      <c r="K11" s="32">
        <f>D11+J11</f>
        <v>0</v>
      </c>
      <c r="L11" s="8"/>
      <c r="M11" s="8"/>
      <c r="N11" s="32">
        <f t="shared" si="1"/>
        <v>0</v>
      </c>
      <c r="O11" s="263">
        <f>UMYr1!D11+UMYr2!D11+UMYr3!D11+UMYr4!D11+UMYr5!D11</f>
        <v>0</v>
      </c>
      <c r="P11" s="264">
        <f>UMYr1!J11+UMYr2!J11+UMYr3!J11+UMYr4!J11+UMYr5!J11</f>
        <v>0</v>
      </c>
      <c r="Q11" s="266">
        <f t="shared" si="2"/>
        <v>0</v>
      </c>
      <c r="S11" s="197"/>
      <c r="T11" s="197"/>
      <c r="U11" s="146"/>
      <c r="V11" s="146"/>
      <c r="W11" s="146"/>
      <c r="X11" s="146"/>
      <c r="Y11" s="146"/>
      <c r="Z11" s="146"/>
      <c r="AC11" s="198"/>
      <c r="AD11" s="198"/>
      <c r="AE11" s="198"/>
      <c r="AF11" s="198"/>
      <c r="AG11" s="198"/>
      <c r="AH11" s="198"/>
      <c r="AJ11" s="198"/>
    </row>
    <row r="12" spans="1:36" ht="12.95" customHeight="1">
      <c r="A12" s="679" t="str">
        <f>IF(UMYr3!A12&lt;&gt;"",UMYr3!A12,"")</f>
        <v>Below</v>
      </c>
      <c r="B12" s="879" t="s">
        <v>469</v>
      </c>
      <c r="C12" s="763"/>
      <c r="D12" s="108">
        <f>Sponsor!G12</f>
        <v>0</v>
      </c>
      <c r="E12" s="33">
        <f>E102</f>
        <v>0</v>
      </c>
      <c r="F12" s="23">
        <f>F102</f>
        <v>0</v>
      </c>
      <c r="G12" s="23">
        <f>G102</f>
        <v>0</v>
      </c>
      <c r="H12" s="23">
        <f>H102</f>
        <v>0</v>
      </c>
      <c r="I12" s="23">
        <f>I102</f>
        <v>0</v>
      </c>
      <c r="J12" s="31">
        <f t="shared" si="0"/>
        <v>0</v>
      </c>
      <c r="K12" s="25">
        <f>K102</f>
        <v>0</v>
      </c>
      <c r="L12" s="33">
        <f>L102</f>
        <v>0</v>
      </c>
      <c r="M12" s="23">
        <f>M102</f>
        <v>0</v>
      </c>
      <c r="N12" s="25">
        <f t="shared" si="1"/>
        <v>0</v>
      </c>
      <c r="O12" s="263">
        <f>UMYr1!D12+UMYr2!D12+UMYr3!D12+UMYr4!D12+UMYr5!D12</f>
        <v>0</v>
      </c>
      <c r="P12" s="264">
        <f>UMYr1!J12+UMYr2!J12+UMYr3!J12+UMYr4!J12+UMYr5!J12</f>
        <v>0</v>
      </c>
      <c r="Q12" s="266">
        <f t="shared" si="2"/>
        <v>0</v>
      </c>
      <c r="S12" s="197"/>
      <c r="T12" s="197"/>
      <c r="AJ12" s="198"/>
    </row>
    <row r="13" spans="1:36" ht="12.95" customHeight="1">
      <c r="A13" s="156" t="str">
        <f>IF(UMYr3!A13&lt;&gt;"",UMYr3!A13,"")</f>
        <v/>
      </c>
      <c r="B13" s="872" t="s">
        <v>473</v>
      </c>
      <c r="C13" s="753"/>
      <c r="D13" s="130">
        <f>Sponsor!G13</f>
        <v>0</v>
      </c>
      <c r="E13" s="34">
        <f>SUM(E8:E12)</f>
        <v>0</v>
      </c>
      <c r="F13" s="34">
        <f>SUM(F8:F12)</f>
        <v>0</v>
      </c>
      <c r="G13" s="34">
        <f>SUM(G8:G12)</f>
        <v>0</v>
      </c>
      <c r="H13" s="34">
        <f>SUM(H8:H12)</f>
        <v>0</v>
      </c>
      <c r="I13" s="34">
        <f>SUM(I8:I12)</f>
        <v>0</v>
      </c>
      <c r="J13" s="31">
        <f t="shared" si="0"/>
        <v>0</v>
      </c>
      <c r="K13" s="26">
        <f>SUM(K8:K12)</f>
        <v>0</v>
      </c>
      <c r="L13" s="35">
        <f>SUM(L8:L12)</f>
        <v>0</v>
      </c>
      <c r="M13" s="34">
        <f>SUM(M8:M12)</f>
        <v>0</v>
      </c>
      <c r="N13" s="26">
        <f t="shared" si="1"/>
        <v>0</v>
      </c>
      <c r="O13" s="263">
        <f>UMYr1!D13+UMYr2!D13+UMYr3!D13+UMYr4!D13+UMYr5!D13</f>
        <v>0</v>
      </c>
      <c r="P13" s="264">
        <f>UMYr1!J13+UMYr2!J13+UMYr3!J13+UMYr4!J13+UMYr5!J13</f>
        <v>0</v>
      </c>
      <c r="Q13" s="311">
        <f t="shared" si="2"/>
        <v>0</v>
      </c>
      <c r="U13" s="146"/>
      <c r="V13" s="146"/>
      <c r="W13" s="146"/>
      <c r="X13" s="146"/>
      <c r="Y13" s="146"/>
      <c r="Z13" s="146"/>
      <c r="AC13" s="198"/>
      <c r="AD13" s="198"/>
      <c r="AE13" s="198"/>
      <c r="AF13" s="198"/>
      <c r="AG13" s="198"/>
      <c r="AH13" s="198"/>
      <c r="AJ13" s="198"/>
    </row>
    <row r="14" spans="1:36" ht="12.95" customHeight="1">
      <c r="A14" s="156" t="str">
        <f>IF(UMYr3!A14&lt;&gt;"",UMYr3!A14,"")</f>
        <v/>
      </c>
      <c r="B14" s="82" t="str">
        <f>IF(UMYr1!B14="","",UMYr1!B14)</f>
        <v>OTHER PERSONNEL - account codes must be entered in Sponsor tab</v>
      </c>
      <c r="C14" s="28"/>
      <c r="D14" s="28"/>
      <c r="E14" s="28"/>
      <c r="F14" s="28"/>
      <c r="G14" s="28"/>
      <c r="H14" s="28"/>
      <c r="I14" s="28"/>
      <c r="J14" s="28"/>
      <c r="K14" s="28"/>
      <c r="L14" s="28"/>
      <c r="M14" s="28"/>
      <c r="N14" s="190"/>
      <c r="O14" s="1067"/>
      <c r="P14" s="1047"/>
      <c r="Q14" s="1028"/>
      <c r="U14" s="146"/>
      <c r="V14" s="146"/>
      <c r="W14" s="146"/>
      <c r="X14" s="146"/>
      <c r="Y14" s="146"/>
      <c r="Z14" s="146"/>
      <c r="AC14" s="198"/>
      <c r="AD14" s="198"/>
      <c r="AE14" s="198"/>
      <c r="AF14" s="198"/>
      <c r="AG14" s="198"/>
      <c r="AH14" s="198"/>
      <c r="AJ14" s="198"/>
    </row>
    <row r="15" spans="1:36" ht="12.95" customHeight="1">
      <c r="A15" s="679">
        <f>IF(UMYr3!A15&lt;&gt;"",UMYr3!A15,"")</f>
        <v>51100</v>
      </c>
      <c r="B15" s="679" t="str">
        <f>IF(UMYr3!B15&lt;&gt;"",UMYr3!B15,"")</f>
        <v/>
      </c>
      <c r="C15" s="36" t="str">
        <f>UMYr1!C15</f>
        <v>Post Doctoral Associates</v>
      </c>
      <c r="D15" s="105">
        <f>Sponsor!G15</f>
        <v>0</v>
      </c>
      <c r="E15" s="8"/>
      <c r="F15" s="8"/>
      <c r="G15" s="8"/>
      <c r="H15" s="8"/>
      <c r="I15" s="8"/>
      <c r="J15" s="31">
        <f t="shared" ref="J15:J26" si="3">SUM(E15:I15)</f>
        <v>0</v>
      </c>
      <c r="K15" s="30">
        <f t="shared" ref="K15:K26" si="4">D15+J15</f>
        <v>0</v>
      </c>
      <c r="L15" s="8"/>
      <c r="M15" s="8"/>
      <c r="N15" s="30">
        <f t="shared" ref="N15:N26" si="5">SUM(K15:M15)</f>
        <v>0</v>
      </c>
      <c r="O15" s="263">
        <f>UMYr1!D15+UMYr2!D15+UMYr3!D15+UMYr4!D15+UMYr5!D15</f>
        <v>0</v>
      </c>
      <c r="P15" s="264">
        <f>UMYr1!J15+UMYr2!J15+UMYr3!J15+UMYr4!J15+UMYr5!J15</f>
        <v>0</v>
      </c>
      <c r="Q15" s="265">
        <f t="shared" ref="Q15:Q26" si="6">O15+P15</f>
        <v>0</v>
      </c>
      <c r="U15" s="146"/>
      <c r="V15" s="146"/>
      <c r="W15" s="146"/>
      <c r="X15" s="146"/>
      <c r="Y15" s="146"/>
      <c r="Z15" s="146"/>
      <c r="AA15" s="146"/>
      <c r="AC15" s="198"/>
      <c r="AD15" s="198"/>
      <c r="AE15" s="198"/>
      <c r="AF15" s="198"/>
      <c r="AG15" s="198"/>
      <c r="AH15" s="198"/>
      <c r="AJ15" s="198"/>
    </row>
    <row r="16" spans="1:36" ht="12.95" customHeight="1">
      <c r="A16" s="679">
        <f>IF(UMYr3!A16&lt;&gt;"",UMYr3!A16,"")</f>
        <v>51100</v>
      </c>
      <c r="B16" s="679" t="str">
        <f>IF(UMYr3!B16&lt;&gt;"",UMYr3!B16,"")</f>
        <v/>
      </c>
      <c r="C16" s="37" t="str">
        <f>UMYr1!C16</f>
        <v>Other Professionals</v>
      </c>
      <c r="D16" s="106">
        <f>Sponsor!G16</f>
        <v>0</v>
      </c>
      <c r="E16" s="8"/>
      <c r="F16" s="8"/>
      <c r="G16" s="8"/>
      <c r="H16" s="8"/>
      <c r="I16" s="8"/>
      <c r="J16" s="31">
        <f t="shared" si="3"/>
        <v>0</v>
      </c>
      <c r="K16" s="32">
        <f t="shared" si="4"/>
        <v>0</v>
      </c>
      <c r="L16" s="8"/>
      <c r="M16" s="8"/>
      <c r="N16" s="32">
        <f t="shared" si="5"/>
        <v>0</v>
      </c>
      <c r="O16" s="263">
        <f>UMYr1!D16+UMYr2!D16+UMYr3!D16+UMYr4!D16+UMYr5!D16</f>
        <v>0</v>
      </c>
      <c r="P16" s="264">
        <f>UMYr1!J16+UMYr2!J16+UMYr3!J16+UMYr4!J16+UMYr5!J16</f>
        <v>0</v>
      </c>
      <c r="Q16" s="266">
        <f t="shared" si="6"/>
        <v>0</v>
      </c>
      <c r="U16" s="146"/>
      <c r="V16" s="146"/>
      <c r="W16" s="146"/>
      <c r="X16" s="146"/>
      <c r="Y16" s="146"/>
      <c r="Z16" s="146"/>
      <c r="AC16" s="198"/>
      <c r="AD16" s="198"/>
      <c r="AE16" s="198"/>
      <c r="AF16" s="198"/>
      <c r="AG16" s="198"/>
      <c r="AH16" s="198"/>
      <c r="AJ16" s="198"/>
    </row>
    <row r="17" spans="1:36" ht="12.95" customHeight="1">
      <c r="A17" s="679">
        <f>IF(UMYr3!A17&lt;&gt;"",UMYr3!A17,"")</f>
        <v>53601</v>
      </c>
      <c r="B17" s="679" t="str">
        <f>IF(UMYr3!B17&lt;&gt;"",UMYr3!B17,"")</f>
        <v/>
      </c>
      <c r="C17" s="37" t="str">
        <f>UMYr1!C17</f>
        <v>Graduate Students</v>
      </c>
      <c r="D17" s="106">
        <f>Sponsor!G17</f>
        <v>0</v>
      </c>
      <c r="E17" s="8"/>
      <c r="F17" s="8"/>
      <c r="G17" s="8"/>
      <c r="H17" s="8"/>
      <c r="I17" s="8"/>
      <c r="J17" s="31">
        <f t="shared" si="3"/>
        <v>0</v>
      </c>
      <c r="K17" s="32">
        <f t="shared" si="4"/>
        <v>0</v>
      </c>
      <c r="L17" s="8"/>
      <c r="M17" s="8"/>
      <c r="N17" s="32">
        <f t="shared" si="5"/>
        <v>0</v>
      </c>
      <c r="O17" s="263">
        <f>UMYr1!D17+UMYr2!D17+UMYr3!D17+UMYr4!D17+UMYr5!D17</f>
        <v>0</v>
      </c>
      <c r="P17" s="264">
        <f>UMYr1!J17+UMYr2!J17+UMYr3!J17+UMYr4!J17+UMYr5!J17</f>
        <v>0</v>
      </c>
      <c r="Q17" s="266">
        <f t="shared" si="6"/>
        <v>0</v>
      </c>
      <c r="U17" s="146"/>
      <c r="V17" s="146"/>
      <c r="W17" s="146"/>
      <c r="X17" s="146"/>
      <c r="Y17" s="146"/>
      <c r="Z17" s="146"/>
      <c r="AC17" s="198"/>
      <c r="AD17" s="198"/>
      <c r="AE17" s="198"/>
      <c r="AF17" s="198"/>
      <c r="AG17" s="198"/>
      <c r="AH17" s="198"/>
      <c r="AJ17" s="198"/>
    </row>
    <row r="18" spans="1:36" ht="12.95" customHeight="1">
      <c r="A18" s="679">
        <f>IF(UMYr3!A18&lt;&gt;"",UMYr3!A18,"")</f>
        <v>53300</v>
      </c>
      <c r="B18" s="679" t="str">
        <f>IF(UMYr3!B18&lt;&gt;"",UMYr3!B18,"")</f>
        <v/>
      </c>
      <c r="C18" s="37" t="str">
        <f>UMYr1!C18</f>
        <v>Undergraduate Students</v>
      </c>
      <c r="D18" s="106">
        <f>Sponsor!G18</f>
        <v>0</v>
      </c>
      <c r="E18" s="8"/>
      <c r="F18" s="8"/>
      <c r="G18" s="8"/>
      <c r="H18" s="8"/>
      <c r="I18" s="8"/>
      <c r="J18" s="31">
        <f t="shared" si="3"/>
        <v>0</v>
      </c>
      <c r="K18" s="32">
        <f t="shared" si="4"/>
        <v>0</v>
      </c>
      <c r="L18" s="8"/>
      <c r="M18" s="8"/>
      <c r="N18" s="32">
        <f t="shared" si="5"/>
        <v>0</v>
      </c>
      <c r="O18" s="263">
        <f>UMYr1!D18+UMYr2!D18+UMYr3!D18+UMYr4!D18+UMYr5!D18</f>
        <v>0</v>
      </c>
      <c r="P18" s="264">
        <f>UMYr1!J18+UMYr2!J18+UMYr3!J18+UMYr4!J18+UMYr5!J18</f>
        <v>0</v>
      </c>
      <c r="Q18" s="266">
        <f t="shared" si="6"/>
        <v>0</v>
      </c>
      <c r="U18" s="146"/>
      <c r="V18" s="146"/>
      <c r="W18" s="146"/>
      <c r="X18" s="146"/>
      <c r="Y18" s="146"/>
      <c r="Z18" s="146"/>
      <c r="AC18" s="198"/>
      <c r="AD18" s="198"/>
      <c r="AE18" s="198"/>
      <c r="AF18" s="198"/>
      <c r="AG18" s="198"/>
      <c r="AH18" s="198"/>
      <c r="AJ18" s="198"/>
    </row>
    <row r="19" spans="1:36" ht="12.95" customHeight="1">
      <c r="A19" s="679">
        <f>IF(UMYr3!A19&lt;&gt;"",UMYr3!A19,"")</f>
        <v>52200</v>
      </c>
      <c r="B19" s="679" t="str">
        <f>IF(UMYr3!B19&lt;&gt;"",UMYr3!B19,"")</f>
        <v/>
      </c>
      <c r="C19" s="37" t="str">
        <f>UMYr1!C19</f>
        <v>Regular Classified Employees</v>
      </c>
      <c r="D19" s="106">
        <f>Sponsor!G19</f>
        <v>0</v>
      </c>
      <c r="E19" s="8"/>
      <c r="F19" s="8"/>
      <c r="G19" s="8"/>
      <c r="H19" s="8"/>
      <c r="I19" s="8"/>
      <c r="J19" s="31">
        <f t="shared" si="3"/>
        <v>0</v>
      </c>
      <c r="K19" s="32">
        <f t="shared" si="4"/>
        <v>0</v>
      </c>
      <c r="L19" s="8"/>
      <c r="M19" s="8"/>
      <c r="N19" s="32">
        <f t="shared" si="5"/>
        <v>0</v>
      </c>
      <c r="O19" s="263">
        <f>UMYr1!D19+UMYr2!D19+UMYr3!D19+UMYr4!D19+UMYr5!D19</f>
        <v>0</v>
      </c>
      <c r="P19" s="264">
        <f>UMYr1!J19+UMYr2!J19+UMYr3!J19+UMYr4!J19+UMYr5!J19</f>
        <v>0</v>
      </c>
      <c r="Q19" s="266">
        <f t="shared" si="6"/>
        <v>0</v>
      </c>
      <c r="U19" s="146"/>
      <c r="V19" s="146"/>
      <c r="W19" s="146"/>
      <c r="X19" s="146"/>
      <c r="Y19" s="146"/>
      <c r="Z19" s="146"/>
      <c r="AA19" s="146"/>
      <c r="AC19" s="198"/>
      <c r="AD19" s="198"/>
      <c r="AE19" s="198"/>
      <c r="AF19" s="198"/>
      <c r="AG19" s="198"/>
      <c r="AH19" s="198"/>
      <c r="AJ19" s="198"/>
    </row>
    <row r="20" spans="1:36" ht="12.95" customHeight="1">
      <c r="A20" s="679">
        <f>IF(UMYr3!A20&lt;&gt;"",UMYr3!A20,"")</f>
        <v>51012</v>
      </c>
      <c r="B20" s="679" t="str">
        <f>IF(UMYr3!B20&lt;&gt;"",UMYr3!B20,"")</f>
        <v/>
      </c>
      <c r="C20" s="37" t="str">
        <f>UMYr1!C20</f>
        <v>Non-faculty Temp Employees</v>
      </c>
      <c r="D20" s="106">
        <f>Sponsor!G20</f>
        <v>0</v>
      </c>
      <c r="E20" s="8"/>
      <c r="F20" s="8"/>
      <c r="G20" s="8"/>
      <c r="H20" s="8"/>
      <c r="I20" s="8"/>
      <c r="J20" s="31">
        <f t="shared" si="3"/>
        <v>0</v>
      </c>
      <c r="K20" s="32">
        <f t="shared" si="4"/>
        <v>0</v>
      </c>
      <c r="L20" s="8"/>
      <c r="M20" s="8"/>
      <c r="N20" s="32">
        <f t="shared" si="5"/>
        <v>0</v>
      </c>
      <c r="O20" s="263">
        <f>UMYr1!D20+UMYr2!D20+UMYr3!D20+UMYr4!D20+UMYr5!D20</f>
        <v>0</v>
      </c>
      <c r="P20" s="264">
        <f>UMYr1!J20+UMYr2!J20+UMYr3!J20+UMYr4!J20+UMYr5!J20</f>
        <v>0</v>
      </c>
      <c r="Q20" s="266">
        <f t="shared" si="6"/>
        <v>0</v>
      </c>
      <c r="U20" s="146"/>
      <c r="V20" s="146"/>
      <c r="W20" s="146"/>
      <c r="X20" s="146"/>
      <c r="Y20" s="146"/>
      <c r="Z20" s="146"/>
      <c r="AC20" s="198"/>
      <c r="AD20" s="198"/>
      <c r="AE20" s="198"/>
      <c r="AF20" s="198"/>
      <c r="AG20" s="198"/>
      <c r="AH20" s="198"/>
      <c r="AJ20" s="198"/>
    </row>
    <row r="21" spans="1:36" ht="12.95" customHeight="1">
      <c r="A21" s="679">
        <f>IF(UMYr3!A21&lt;&gt;"",UMYr3!A21,"")</f>
        <v>52012</v>
      </c>
      <c r="B21" s="679" t="str">
        <f>IF(UMYr3!B21&lt;&gt;"",UMYr3!B21,"")</f>
        <v/>
      </c>
      <c r="C21" s="37" t="str">
        <f>UMYr1!C21</f>
        <v>Temp Classified Employees</v>
      </c>
      <c r="D21" s="106">
        <f>Sponsor!G21</f>
        <v>0</v>
      </c>
      <c r="E21" s="8"/>
      <c r="F21" s="8"/>
      <c r="G21" s="8"/>
      <c r="H21" s="8"/>
      <c r="I21" s="8"/>
      <c r="J21" s="31">
        <f t="shared" si="3"/>
        <v>0</v>
      </c>
      <c r="K21" s="32">
        <f t="shared" si="4"/>
        <v>0</v>
      </c>
      <c r="L21" s="8"/>
      <c r="M21" s="8"/>
      <c r="N21" s="32">
        <f t="shared" si="5"/>
        <v>0</v>
      </c>
      <c r="O21" s="263">
        <f>UMYr1!D21+UMYr2!D21+UMYr3!D21+UMYr4!D21+UMYr5!D21</f>
        <v>0</v>
      </c>
      <c r="P21" s="264">
        <f>UMYr1!J21+UMYr2!J21+UMYr3!J21+UMYr4!J21+UMYr5!J21</f>
        <v>0</v>
      </c>
      <c r="Q21" s="266">
        <f t="shared" si="6"/>
        <v>0</v>
      </c>
      <c r="U21" s="146"/>
      <c r="V21" s="146"/>
      <c r="W21" s="146"/>
      <c r="X21" s="146"/>
      <c r="Y21" s="146"/>
      <c r="Z21" s="146"/>
      <c r="AC21" s="198"/>
      <c r="AD21" s="198"/>
      <c r="AE21" s="198"/>
      <c r="AF21" s="198"/>
      <c r="AG21" s="198"/>
      <c r="AH21" s="198"/>
      <c r="AJ21" s="198"/>
    </row>
    <row r="22" spans="1:36" ht="12.95" customHeight="1">
      <c r="A22" s="679" t="str">
        <f>IF(UMYr3!A22&lt;&gt;"",UMYr3!A22,"")</f>
        <v/>
      </c>
      <c r="B22" s="679" t="str">
        <f>IF(UMYr3!B22&lt;&gt;"",UMYr3!B22,"")</f>
        <v>****</v>
      </c>
      <c r="C22" s="37" t="str">
        <f>UMYr1!C22</f>
        <v>Other</v>
      </c>
      <c r="D22" s="106">
        <f>Sponsor!G22</f>
        <v>0</v>
      </c>
      <c r="E22" s="8"/>
      <c r="F22" s="8"/>
      <c r="G22" s="8"/>
      <c r="H22" s="8"/>
      <c r="I22" s="8"/>
      <c r="J22" s="31">
        <f t="shared" si="3"/>
        <v>0</v>
      </c>
      <c r="K22" s="32">
        <f t="shared" si="4"/>
        <v>0</v>
      </c>
      <c r="L22" s="8"/>
      <c r="M22" s="8"/>
      <c r="N22" s="32">
        <f t="shared" si="5"/>
        <v>0</v>
      </c>
      <c r="O22" s="263">
        <f>UMYr1!D22+UMYr2!D22+UMYr3!D22+UMYr4!D22+UMYr5!D22</f>
        <v>0</v>
      </c>
      <c r="P22" s="264">
        <f>UMYr1!J22+UMYr2!J22+UMYr3!J22+UMYr4!J22+UMYr5!J22</f>
        <v>0</v>
      </c>
      <c r="Q22" s="266">
        <f t="shared" si="6"/>
        <v>0</v>
      </c>
      <c r="U22" s="146"/>
      <c r="V22" s="146"/>
      <c r="W22" s="146"/>
      <c r="X22" s="146"/>
      <c r="Y22" s="146"/>
      <c r="Z22" s="146"/>
      <c r="AC22" s="198"/>
      <c r="AD22" s="198"/>
      <c r="AE22" s="198"/>
      <c r="AF22" s="198"/>
      <c r="AG22" s="198"/>
      <c r="AH22" s="198"/>
      <c r="AJ22" s="198"/>
    </row>
    <row r="23" spans="1:36" ht="12.95" customHeight="1">
      <c r="A23" s="156" t="str">
        <f>IF(UMYr3!A23&lt;&gt;"",UMYr3!A23,"")</f>
        <v/>
      </c>
      <c r="B23" s="879" t="s">
        <v>494</v>
      </c>
      <c r="C23" s="763"/>
      <c r="D23" s="25">
        <f>Sponsor!G23</f>
        <v>0</v>
      </c>
      <c r="E23" s="23">
        <f>SUM(E15:E22)+E13</f>
        <v>0</v>
      </c>
      <c r="F23" s="23">
        <f>SUM(F15:F22)+F13</f>
        <v>0</v>
      </c>
      <c r="G23" s="23">
        <f>SUM(G15:G22)+G13</f>
        <v>0</v>
      </c>
      <c r="H23" s="23">
        <f>SUM(H15:H22)+H13</f>
        <v>0</v>
      </c>
      <c r="I23" s="23">
        <f>SUM(I15:I22)+I13</f>
        <v>0</v>
      </c>
      <c r="J23" s="31">
        <f t="shared" si="3"/>
        <v>0</v>
      </c>
      <c r="K23" s="32">
        <f t="shared" si="4"/>
        <v>0</v>
      </c>
      <c r="L23" s="23">
        <f>SUM(L15:L22)+L13</f>
        <v>0</v>
      </c>
      <c r="M23" s="23">
        <f>SUM(M15:M22)+M13</f>
        <v>0</v>
      </c>
      <c r="N23" s="25">
        <f t="shared" si="5"/>
        <v>0</v>
      </c>
      <c r="O23" s="263">
        <f>UMYr1!D23+UMYr2!D23+UMYr3!D23+UMYr4!D23+UMYr5!D23</f>
        <v>0</v>
      </c>
      <c r="P23" s="264">
        <f>UMYr1!J23+UMYr2!J23+UMYr3!J23+UMYr4!J23+UMYr5!J23</f>
        <v>0</v>
      </c>
      <c r="Q23" s="266">
        <f t="shared" si="6"/>
        <v>0</v>
      </c>
      <c r="U23" s="146"/>
      <c r="V23" s="146"/>
      <c r="W23" s="146"/>
      <c r="X23" s="146"/>
      <c r="Y23" s="146"/>
      <c r="Z23" s="146"/>
      <c r="AA23" s="146"/>
      <c r="AC23" s="198"/>
      <c r="AD23" s="198"/>
      <c r="AE23" s="198"/>
      <c r="AF23" s="198"/>
      <c r="AG23" s="198"/>
      <c r="AH23" s="198"/>
      <c r="AJ23" s="198"/>
    </row>
    <row r="24" spans="1:36" ht="12.95" customHeight="1">
      <c r="A24" s="679">
        <f>IF(UMYr3!A24&lt;&gt;"",UMYr3!A24,"")</f>
        <v>54800</v>
      </c>
      <c r="B24" s="679" t="str">
        <f>IF(UMYr3!B24&lt;&gt;"",UMYr3!B24,"")</f>
        <v/>
      </c>
      <c r="C24" s="37" t="s">
        <v>496</v>
      </c>
      <c r="D24" s="25">
        <f>Sponsor!G24</f>
        <v>0</v>
      </c>
      <c r="E24" s="23">
        <f t="shared" ref="E24:I25" si="7">E73</f>
        <v>0</v>
      </c>
      <c r="F24" s="23">
        <f t="shared" si="7"/>
        <v>0</v>
      </c>
      <c r="G24" s="23">
        <f t="shared" si="7"/>
        <v>0</v>
      </c>
      <c r="H24" s="23">
        <f t="shared" si="7"/>
        <v>0</v>
      </c>
      <c r="I24" s="23">
        <f t="shared" si="7"/>
        <v>0</v>
      </c>
      <c r="J24" s="31">
        <f t="shared" si="3"/>
        <v>0</v>
      </c>
      <c r="K24" s="32">
        <f t="shared" si="4"/>
        <v>0</v>
      </c>
      <c r="L24" s="23">
        <f>L73</f>
        <v>0</v>
      </c>
      <c r="M24" s="23">
        <f>M73</f>
        <v>0</v>
      </c>
      <c r="N24" s="25">
        <f t="shared" si="5"/>
        <v>0</v>
      </c>
      <c r="O24" s="263">
        <f>UMYr1!D24+UMYr2!D24+UMYr3!D24+UMYr4!D24+UMYr5!D24</f>
        <v>0</v>
      </c>
      <c r="P24" s="264">
        <f>UMYr1!J24+UMYr2!J24+UMYr3!J24+UMYr4!J24+UMYr5!J24</f>
        <v>0</v>
      </c>
      <c r="Q24" s="266">
        <f t="shared" si="6"/>
        <v>0</v>
      </c>
      <c r="U24" s="146"/>
      <c r="V24" s="146"/>
      <c r="W24" s="146"/>
      <c r="X24" s="146"/>
      <c r="Y24" s="146"/>
      <c r="Z24" s="146"/>
      <c r="AC24" s="198"/>
      <c r="AD24" s="198"/>
      <c r="AE24" s="198"/>
      <c r="AF24" s="198"/>
      <c r="AG24" s="198"/>
      <c r="AH24" s="198"/>
      <c r="AJ24" s="198"/>
    </row>
    <row r="25" spans="1:36" ht="12.95" customHeight="1">
      <c r="A25" s="679">
        <f>IF(UMYr3!A25&lt;&gt;"",UMYr3!A25,"")</f>
        <v>54810</v>
      </c>
      <c r="B25" s="679" t="str">
        <f>IF(UMYr3!B25&lt;&gt;"",UMYr3!B25,"")</f>
        <v/>
      </c>
      <c r="C25" s="208" t="s">
        <v>650</v>
      </c>
      <c r="D25" s="25">
        <f>Sponsor!G25</f>
        <v>0</v>
      </c>
      <c r="E25" s="23">
        <f t="shared" si="7"/>
        <v>0</v>
      </c>
      <c r="F25" s="23">
        <f t="shared" si="7"/>
        <v>0</v>
      </c>
      <c r="G25" s="23">
        <f t="shared" si="7"/>
        <v>0</v>
      </c>
      <c r="H25" s="23">
        <f t="shared" si="7"/>
        <v>0</v>
      </c>
      <c r="I25" s="23">
        <f t="shared" si="7"/>
        <v>0</v>
      </c>
      <c r="J25" s="31">
        <f t="shared" si="3"/>
        <v>0</v>
      </c>
      <c r="K25" s="32">
        <f t="shared" si="4"/>
        <v>0</v>
      </c>
      <c r="L25" s="23">
        <f>L74</f>
        <v>0</v>
      </c>
      <c r="M25" s="23">
        <f>M74</f>
        <v>0</v>
      </c>
      <c r="N25" s="25">
        <f t="shared" si="5"/>
        <v>0</v>
      </c>
      <c r="O25" s="263">
        <f>UMYr1!D25+UMYr2!D25+UMYr3!D25+UMYr4!D25+UMYr5!D25</f>
        <v>0</v>
      </c>
      <c r="P25" s="264">
        <f>UMYr1!J25+UMYr2!J25+UMYr3!J25+UMYr4!J25+UMYr5!J25</f>
        <v>0</v>
      </c>
      <c r="Q25" s="266">
        <f t="shared" si="6"/>
        <v>0</v>
      </c>
      <c r="U25" s="146"/>
      <c r="V25" s="146"/>
      <c r="W25" s="146"/>
      <c r="X25" s="146"/>
      <c r="Y25" s="146"/>
      <c r="Z25" s="146"/>
      <c r="AC25" s="198"/>
      <c r="AD25" s="198"/>
      <c r="AE25" s="198"/>
      <c r="AF25" s="198"/>
      <c r="AG25" s="198"/>
      <c r="AH25" s="198"/>
      <c r="AJ25" s="198"/>
    </row>
    <row r="26" spans="1:36" ht="12.95" customHeight="1">
      <c r="A26" s="156" t="str">
        <f>IF(UMYr3!A26&lt;&gt;"",UMYr3!A26,"")</f>
        <v/>
      </c>
      <c r="B26" s="913" t="s">
        <v>502</v>
      </c>
      <c r="C26" s="775"/>
      <c r="D26" s="26">
        <f>Sponsor!G26</f>
        <v>0</v>
      </c>
      <c r="E26" s="34">
        <f>SUM(E23:E25)</f>
        <v>0</v>
      </c>
      <c r="F26" s="34">
        <f>SUM(F23:F25)</f>
        <v>0</v>
      </c>
      <c r="G26" s="34">
        <f>SUM(G23:G25)</f>
        <v>0</v>
      </c>
      <c r="H26" s="34">
        <f>SUM(H23:H25)</f>
        <v>0</v>
      </c>
      <c r="I26" s="34">
        <f>SUM(I23:I25)</f>
        <v>0</v>
      </c>
      <c r="J26" s="31">
        <f t="shared" si="3"/>
        <v>0</v>
      </c>
      <c r="K26" s="32">
        <f t="shared" si="4"/>
        <v>0</v>
      </c>
      <c r="L26" s="34">
        <f>SUM(L23:L25)</f>
        <v>0</v>
      </c>
      <c r="M26" s="34">
        <f>SUM(M23:M25)</f>
        <v>0</v>
      </c>
      <c r="N26" s="26">
        <f t="shared" si="5"/>
        <v>0</v>
      </c>
      <c r="O26" s="263">
        <f>UMYr1!D26+UMYr2!D26+UMYr3!D26+UMYr4!D26+UMYr5!D26</f>
        <v>0</v>
      </c>
      <c r="P26" s="264">
        <f>UMYr1!J26+UMYr2!J26+UMYr3!J26+UMYr4!J26+UMYr5!J26</f>
        <v>0</v>
      </c>
      <c r="Q26" s="311">
        <f t="shared" si="6"/>
        <v>0</v>
      </c>
      <c r="U26" s="146"/>
      <c r="V26" s="146"/>
      <c r="W26" s="146"/>
      <c r="X26" s="146"/>
      <c r="Y26" s="146"/>
      <c r="Z26" s="146"/>
      <c r="AC26" s="198"/>
      <c r="AD26" s="198"/>
      <c r="AE26" s="198"/>
      <c r="AF26" s="198"/>
      <c r="AG26" s="198"/>
      <c r="AH26" s="198"/>
      <c r="AJ26" s="198"/>
    </row>
    <row r="27" spans="1:36" ht="12.95" customHeight="1">
      <c r="A27" s="156" t="str">
        <f>IF(UMYr3!A27&lt;&gt;"",UMYr3!A27,"")</f>
        <v/>
      </c>
      <c r="B27" s="210" t="str">
        <f>IF(UMYr1!B27="","",UMYr1!B27)</f>
        <v>CAPITAL EQUIPMENT OR CONSTRUCTION - descriptions and account codes must be entered in Sponsor tab</v>
      </c>
      <c r="C27" s="28"/>
      <c r="D27" s="28"/>
      <c r="E27" s="28"/>
      <c r="F27" s="28"/>
      <c r="G27" s="28"/>
      <c r="H27" s="28"/>
      <c r="I27" s="28"/>
      <c r="J27" s="28"/>
      <c r="K27" s="28"/>
      <c r="L27" s="28"/>
      <c r="M27" s="28"/>
      <c r="N27" s="190"/>
      <c r="O27" s="1067"/>
      <c r="P27" s="1047"/>
      <c r="Q27" s="1028"/>
      <c r="U27" s="146"/>
      <c r="V27" s="146"/>
      <c r="W27" s="146"/>
      <c r="X27" s="146"/>
      <c r="Y27" s="146"/>
      <c r="Z27" s="146"/>
      <c r="AA27" s="146"/>
      <c r="AC27" s="198"/>
      <c r="AD27" s="198"/>
      <c r="AE27" s="198"/>
      <c r="AF27" s="198"/>
      <c r="AG27" s="198"/>
      <c r="AH27" s="198"/>
      <c r="AJ27" s="198"/>
    </row>
    <row r="28" spans="1:36" ht="12.95" customHeight="1">
      <c r="A28" s="679" t="str">
        <f>IF(UMYr3!A28&lt;&gt;"",UMYr3!A28,"")</f>
        <v/>
      </c>
      <c r="B28" s="679" t="str">
        <f>IF(UMYr3!B28&lt;&gt;"",UMYr3!B28,"")</f>
        <v/>
      </c>
      <c r="C28" s="680"/>
      <c r="D28" s="107">
        <f>Sponsor!G28</f>
        <v>0</v>
      </c>
      <c r="E28" s="9"/>
      <c r="F28" s="9"/>
      <c r="G28" s="9"/>
      <c r="H28" s="9"/>
      <c r="I28" s="9"/>
      <c r="J28" s="40">
        <f>SUM(E28:I28)</f>
        <v>0</v>
      </c>
      <c r="K28" s="32">
        <f>D28+J28</f>
        <v>0</v>
      </c>
      <c r="L28" s="9"/>
      <c r="M28" s="9"/>
      <c r="N28" s="24">
        <f>SUM(K28:M28)</f>
        <v>0</v>
      </c>
      <c r="O28" s="263">
        <f>UMYr1!D28+UMYr2!D28+UMYr3!D28+UMYr4!D28+UMYr5!D28</f>
        <v>0</v>
      </c>
      <c r="P28" s="264">
        <f>UMYr1!J28+UMYr2!J28+UMYr3!J28+UMYr4!J28+UMYr5!J28</f>
        <v>0</v>
      </c>
      <c r="Q28" s="265">
        <f>O28+P28</f>
        <v>0</v>
      </c>
      <c r="AC28" s="198"/>
      <c r="AD28" s="198"/>
      <c r="AE28" s="198"/>
      <c r="AF28" s="198"/>
      <c r="AG28" s="198"/>
      <c r="AH28" s="198"/>
      <c r="AJ28" s="198"/>
    </row>
    <row r="29" spans="1:36" ht="12.95" customHeight="1">
      <c r="A29" s="679" t="str">
        <f>IF(UMYr3!A29&lt;&gt;"",UMYr3!A29,"")</f>
        <v/>
      </c>
      <c r="B29" s="679" t="str">
        <f>IF(UMYr3!B29&lt;&gt;"",UMYr3!B29,"")</f>
        <v/>
      </c>
      <c r="C29" s="680"/>
      <c r="D29" s="108">
        <f>Sponsor!G29</f>
        <v>0</v>
      </c>
      <c r="E29" s="9"/>
      <c r="F29" s="9"/>
      <c r="G29" s="9"/>
      <c r="H29" s="9"/>
      <c r="I29" s="9"/>
      <c r="J29" s="23">
        <f>SUM(E29:I29)</f>
        <v>0</v>
      </c>
      <c r="K29" s="32">
        <f>D29+J29</f>
        <v>0</v>
      </c>
      <c r="L29" s="10"/>
      <c r="M29" s="9"/>
      <c r="N29" s="25">
        <f>SUM(K29:M29)</f>
        <v>0</v>
      </c>
      <c r="O29" s="263">
        <f>UMYr1!D29+UMYr2!D29+UMYr3!D29+UMYr4!D29+UMYr5!D29</f>
        <v>0</v>
      </c>
      <c r="P29" s="264">
        <f>UMYr1!J29+UMYr2!J29+UMYr3!J29+UMYr4!J29+UMYr5!J29</f>
        <v>0</v>
      </c>
      <c r="Q29" s="266">
        <f>O29+P29</f>
        <v>0</v>
      </c>
      <c r="AC29" s="198"/>
      <c r="AD29" s="198"/>
      <c r="AE29" s="198"/>
      <c r="AF29" s="198"/>
      <c r="AG29" s="198"/>
      <c r="AH29" s="198"/>
      <c r="AJ29" s="198"/>
    </row>
    <row r="30" spans="1:36" ht="12.95" customHeight="1">
      <c r="A30" s="679" t="str">
        <f>IF(UMYr3!A30&lt;&gt;"",UMYr3!A30,"")</f>
        <v>Below</v>
      </c>
      <c r="B30" s="879" t="s">
        <v>511</v>
      </c>
      <c r="C30" s="763"/>
      <c r="D30" s="25">
        <f>Sponsor!G30</f>
        <v>0</v>
      </c>
      <c r="E30" s="33">
        <f>E109</f>
        <v>0</v>
      </c>
      <c r="F30" s="23">
        <f>F109</f>
        <v>0</v>
      </c>
      <c r="G30" s="23">
        <f>G109</f>
        <v>0</v>
      </c>
      <c r="H30" s="23">
        <f>H109</f>
        <v>0</v>
      </c>
      <c r="I30" s="23">
        <f>I109</f>
        <v>0</v>
      </c>
      <c r="J30" s="11">
        <f>SUM(E30:I30)</f>
        <v>0</v>
      </c>
      <c r="K30" s="32">
        <f>D30+J30</f>
        <v>0</v>
      </c>
      <c r="L30" s="23">
        <f>L109</f>
        <v>0</v>
      </c>
      <c r="M30" s="23">
        <f>M109</f>
        <v>0</v>
      </c>
      <c r="N30" s="25">
        <f>SUM(K30:M30)</f>
        <v>0</v>
      </c>
      <c r="O30" s="263">
        <f>UMYr1!D30+UMYr2!D30+UMYr3!D30+UMYr4!D30+UMYr5!D30</f>
        <v>0</v>
      </c>
      <c r="P30" s="264">
        <f>UMYr1!J30+UMYr2!J30+UMYr3!J30+UMYr4!J30+UMYr5!J30</f>
        <v>0</v>
      </c>
      <c r="Q30" s="266">
        <f>O30+P30</f>
        <v>0</v>
      </c>
      <c r="AC30" s="198"/>
      <c r="AD30" s="198"/>
      <c r="AE30" s="198"/>
      <c r="AF30" s="198"/>
      <c r="AG30" s="198"/>
      <c r="AH30" s="198"/>
      <c r="AJ30" s="198"/>
    </row>
    <row r="31" spans="1:36" ht="12.95" customHeight="1">
      <c r="A31" s="156" t="str">
        <f>IF(UMYr3!A31&lt;&gt;"",UMYr3!A31,"")</f>
        <v/>
      </c>
      <c r="B31" s="873" t="s">
        <v>514</v>
      </c>
      <c r="C31" s="753"/>
      <c r="D31" s="26">
        <f>Sponsor!G31</f>
        <v>0</v>
      </c>
      <c r="E31" s="34">
        <f>SUM(E28:E30)</f>
        <v>0</v>
      </c>
      <c r="F31" s="34">
        <f>SUM(F28:F30)</f>
        <v>0</v>
      </c>
      <c r="G31" s="34">
        <f>SUM(G28:G30)</f>
        <v>0</v>
      </c>
      <c r="H31" s="34">
        <f>SUM(H28:H30)</f>
        <v>0</v>
      </c>
      <c r="I31" s="34">
        <f>SUM(I28:I30)</f>
        <v>0</v>
      </c>
      <c r="J31" s="31">
        <f>SUM(E31:I31)</f>
        <v>0</v>
      </c>
      <c r="K31" s="32">
        <f>D31+J31</f>
        <v>0</v>
      </c>
      <c r="L31" s="34">
        <f>SUM(L28:L30)</f>
        <v>0</v>
      </c>
      <c r="M31" s="34">
        <f>SUM(M28:M30)</f>
        <v>0</v>
      </c>
      <c r="N31" s="26">
        <f>SUM(K31:M31)</f>
        <v>0</v>
      </c>
      <c r="O31" s="263">
        <f>UMYr1!D31+UMYr2!D31+UMYr3!D31+UMYr4!D31+UMYr5!D31</f>
        <v>0</v>
      </c>
      <c r="P31" s="264">
        <f>UMYr1!J31+UMYr2!J31+UMYr3!J31+UMYr4!J31+UMYr5!J31</f>
        <v>0</v>
      </c>
      <c r="Q31" s="311">
        <f>O31+P31</f>
        <v>0</v>
      </c>
      <c r="AC31" s="198"/>
      <c r="AD31" s="198"/>
      <c r="AE31" s="198"/>
      <c r="AF31" s="198"/>
      <c r="AG31" s="198"/>
      <c r="AH31" s="198"/>
      <c r="AI31" s="235"/>
      <c r="AJ31" s="198"/>
    </row>
    <row r="32" spans="1:36" ht="12.95" customHeight="1">
      <c r="A32" s="156" t="str">
        <f>IF(UMYr3!A32&lt;&gt;"",UMYr3!A32,"")</f>
        <v/>
      </c>
      <c r="B32" s="82" t="str">
        <f>IF(UMYr1!B32="","",UMYr1!B32)</f>
        <v>TRAVEL - account codes must be entered in Sponsor tab</v>
      </c>
      <c r="C32" s="28"/>
      <c r="D32" s="28"/>
      <c r="E32" s="28"/>
      <c r="F32" s="28"/>
      <c r="G32" s="28"/>
      <c r="H32" s="28"/>
      <c r="I32" s="28"/>
      <c r="J32" s="28"/>
      <c r="K32" s="28"/>
      <c r="L32" s="28"/>
      <c r="M32" s="28"/>
      <c r="N32" s="190"/>
      <c r="O32" s="1067"/>
      <c r="P32" s="1047"/>
      <c r="Q32" s="1028"/>
      <c r="AC32" s="198"/>
      <c r="AD32" s="198"/>
      <c r="AE32" s="198"/>
      <c r="AF32" s="198"/>
      <c r="AG32" s="198"/>
      <c r="AH32" s="198"/>
      <c r="AI32" s="235"/>
      <c r="AJ32" s="198"/>
    </row>
    <row r="33" spans="1:36" ht="12.95" customHeight="1">
      <c r="A33" s="679">
        <f>IF(UMYr3!A33&lt;&gt;"",UMYr3!A33,"")</f>
        <v>61400</v>
      </c>
      <c r="B33" s="679" t="str">
        <f>IF(UMYr3!B33&lt;&gt;"",UMYr3!B33,"")</f>
        <v/>
      </c>
      <c r="C33" s="39" t="s">
        <v>518</v>
      </c>
      <c r="D33" s="105">
        <f>Sponsor!G33</f>
        <v>0</v>
      </c>
      <c r="E33" s="8"/>
      <c r="F33" s="8"/>
      <c r="G33" s="8"/>
      <c r="H33" s="8"/>
      <c r="I33" s="8"/>
      <c r="J33" s="31">
        <f>SUM(E33:I33)</f>
        <v>0</v>
      </c>
      <c r="K33" s="32">
        <f>D33+J33</f>
        <v>0</v>
      </c>
      <c r="L33" s="8"/>
      <c r="M33" s="8"/>
      <c r="N33" s="30">
        <f>SUM(K33:M33)</f>
        <v>0</v>
      </c>
      <c r="O33" s="263">
        <f>UMYr1!D33+UMYr2!D33+UMYr3!D33+UMYr4!D33+UMYr5!D33</f>
        <v>0</v>
      </c>
      <c r="P33" s="264">
        <f>UMYr1!J33+UMYr2!J33+UMYr3!J33+UMYr4!J33+UMYr5!J33</f>
        <v>0</v>
      </c>
      <c r="Q33" s="265">
        <f>O33+P33</f>
        <v>0</v>
      </c>
      <c r="AC33" s="198"/>
      <c r="AD33" s="198"/>
      <c r="AE33" s="198"/>
      <c r="AF33" s="198"/>
      <c r="AG33" s="198"/>
      <c r="AH33" s="198"/>
      <c r="AJ33" s="198"/>
    </row>
    <row r="34" spans="1:36" ht="12.95" customHeight="1">
      <c r="A34" s="679">
        <f>IF(UMYr3!A34&lt;&gt;"",UMYr3!A34,"")</f>
        <v>61500</v>
      </c>
      <c r="B34" s="679" t="str">
        <f>IF(UMYr3!B34&lt;&gt;"",UMYr3!B34,"")</f>
        <v/>
      </c>
      <c r="C34" s="27" t="s">
        <v>519</v>
      </c>
      <c r="D34" s="106">
        <f>Sponsor!G34</f>
        <v>0</v>
      </c>
      <c r="E34" s="8"/>
      <c r="F34" s="8"/>
      <c r="G34" s="8"/>
      <c r="H34" s="8"/>
      <c r="I34" s="8"/>
      <c r="J34" s="31">
        <f>SUM(E34:I34)</f>
        <v>0</v>
      </c>
      <c r="K34" s="32">
        <f>D34+J34</f>
        <v>0</v>
      </c>
      <c r="L34" s="8"/>
      <c r="M34" s="8"/>
      <c r="N34" s="32">
        <f>SUM(K34:M34)</f>
        <v>0</v>
      </c>
      <c r="O34" s="263">
        <f>UMYr1!D34+UMYr2!D34+UMYr3!D34+UMYr4!D34+UMYr5!D34</f>
        <v>0</v>
      </c>
      <c r="P34" s="264">
        <f>UMYr1!J34+UMYr2!J34+UMYr3!J34+UMYr4!J34+UMYr5!J34</f>
        <v>0</v>
      </c>
      <c r="Q34" s="266">
        <f>O34+P34</f>
        <v>0</v>
      </c>
      <c r="AC34" s="198"/>
      <c r="AD34" s="198"/>
      <c r="AE34" s="198"/>
      <c r="AF34" s="198"/>
      <c r="AG34" s="198"/>
      <c r="AH34" s="198"/>
      <c r="AJ34" s="198"/>
    </row>
    <row r="35" spans="1:36" ht="12.95" customHeight="1">
      <c r="A35" s="679">
        <f>IF(UMYr3!A35&lt;&gt;"",UMYr3!A35,"")</f>
        <v>61600</v>
      </c>
      <c r="B35" s="679" t="str">
        <f>IF(UMYr3!B35&lt;&gt;"",UMYr3!B35,"")</f>
        <v/>
      </c>
      <c r="C35" s="27" t="s">
        <v>520</v>
      </c>
      <c r="D35" s="106">
        <f>Sponsor!G35</f>
        <v>0</v>
      </c>
      <c r="E35" s="8"/>
      <c r="F35" s="8"/>
      <c r="G35" s="8"/>
      <c r="H35" s="8"/>
      <c r="I35" s="8"/>
      <c r="J35" s="31">
        <f>SUM(E35:I35)</f>
        <v>0</v>
      </c>
      <c r="K35" s="32">
        <f>D35+J35</f>
        <v>0</v>
      </c>
      <c r="L35" s="8"/>
      <c r="M35" s="8"/>
      <c r="N35" s="32">
        <f>SUM(K35:M35)</f>
        <v>0</v>
      </c>
      <c r="O35" s="263">
        <f>UMYr1!D35+UMYr2!D35+UMYr3!D35+UMYr4!D35+UMYr5!D35</f>
        <v>0</v>
      </c>
      <c r="P35" s="264">
        <f>UMYr1!J35+UMYr2!J35+UMYr3!J35+UMYr4!J35+UMYr5!J35</f>
        <v>0</v>
      </c>
      <c r="Q35" s="266">
        <f>O35+P35</f>
        <v>0</v>
      </c>
      <c r="AC35" s="198"/>
      <c r="AD35" s="198"/>
      <c r="AE35" s="198"/>
      <c r="AF35" s="198"/>
      <c r="AG35" s="198"/>
      <c r="AH35" s="198"/>
      <c r="AJ35" s="198"/>
    </row>
    <row r="36" spans="1:36" ht="12.95" customHeight="1">
      <c r="A36" s="156" t="str">
        <f>IF(UMYr3!A36&lt;&gt;"",UMYr3!A36,"")</f>
        <v/>
      </c>
      <c r="B36" s="873" t="s">
        <v>521</v>
      </c>
      <c r="C36" s="753"/>
      <c r="D36" s="41">
        <f>Sponsor!G36</f>
        <v>0</v>
      </c>
      <c r="E36" s="42">
        <f>SUM(E33:E35)</f>
        <v>0</v>
      </c>
      <c r="F36" s="42">
        <f>SUM(F33:F35)</f>
        <v>0</v>
      </c>
      <c r="G36" s="42">
        <f>SUM(G33:G35)</f>
        <v>0</v>
      </c>
      <c r="H36" s="42">
        <f>SUM(H33:H35)</f>
        <v>0</v>
      </c>
      <c r="I36" s="42">
        <f>SUM(I33:I35)</f>
        <v>0</v>
      </c>
      <c r="J36" s="31">
        <f>SUM(E36:I36)</f>
        <v>0</v>
      </c>
      <c r="K36" s="32">
        <f>D36+J36</f>
        <v>0</v>
      </c>
      <c r="L36" s="42">
        <f>SUM(L33:L35)</f>
        <v>0</v>
      </c>
      <c r="M36" s="42">
        <f>SUM(M33:M35)</f>
        <v>0</v>
      </c>
      <c r="N36" s="41">
        <f>SUM(K36:M36)</f>
        <v>0</v>
      </c>
      <c r="O36" s="263">
        <f>UMYr1!D36+UMYr2!D36+UMYr3!D36+UMYr4!D36+UMYr5!D36</f>
        <v>0</v>
      </c>
      <c r="P36" s="264">
        <f>UMYr1!J36+UMYr2!J36+UMYr3!J36+UMYr4!J36+UMYr5!J36</f>
        <v>0</v>
      </c>
      <c r="Q36" s="311">
        <f>O36+P36</f>
        <v>0</v>
      </c>
      <c r="AJ36" s="198"/>
    </row>
    <row r="37" spans="1:36" ht="12.95" customHeight="1">
      <c r="A37" s="156" t="str">
        <f>IF(UMYr3!A37&lt;&gt;"",UMYr3!A37,"")</f>
        <v/>
      </c>
      <c r="B37" s="82" t="str">
        <f>IF(UMYr1!B37="","",UMYr1!B37)</f>
        <v>PARTICIPANT SUPPORT COSTS - account codes must be entered in Sponsor tab</v>
      </c>
      <c r="C37" s="28"/>
      <c r="D37" s="28"/>
      <c r="E37" s="28"/>
      <c r="F37" s="28"/>
      <c r="G37" s="28"/>
      <c r="H37" s="28"/>
      <c r="I37" s="28"/>
      <c r="J37" s="28"/>
      <c r="K37" s="28"/>
      <c r="L37" s="28"/>
      <c r="M37" s="28"/>
      <c r="N37" s="190"/>
      <c r="O37" s="1067"/>
      <c r="P37" s="1047"/>
      <c r="Q37" s="1028"/>
      <c r="AC37" s="198"/>
      <c r="AD37" s="198"/>
      <c r="AE37" s="198"/>
      <c r="AF37" s="198"/>
      <c r="AG37" s="198"/>
      <c r="AH37" s="198"/>
      <c r="AJ37" s="198"/>
    </row>
    <row r="38" spans="1:36" ht="12.95" customHeight="1">
      <c r="A38" s="679">
        <f>IF(UMYr3!A38&lt;&gt;"",UMYr3!A38,"")</f>
        <v>60206</v>
      </c>
      <c r="B38" s="679" t="str">
        <f>IF(UMYr3!B38&lt;&gt;"",UMYr3!B38,"")</f>
        <v/>
      </c>
      <c r="C38" s="39" t="s">
        <v>523</v>
      </c>
      <c r="D38" s="105">
        <f>Sponsor!G38</f>
        <v>0</v>
      </c>
      <c r="E38" s="8"/>
      <c r="F38" s="8"/>
      <c r="G38" s="8"/>
      <c r="H38" s="8"/>
      <c r="I38" s="8"/>
      <c r="J38" s="31">
        <f>SUM(E38:I38)</f>
        <v>0</v>
      </c>
      <c r="K38" s="32">
        <f>D38+J38</f>
        <v>0</v>
      </c>
      <c r="L38" s="8"/>
      <c r="M38" s="8"/>
      <c r="N38" s="30">
        <f>SUM(K38:M38)</f>
        <v>0</v>
      </c>
      <c r="O38" s="263">
        <f>UMYr1!D38+UMYr2!D38+UMYr3!D38+UMYr4!D38+UMYr5!D38</f>
        <v>0</v>
      </c>
      <c r="P38" s="264">
        <f>UMYr1!J38+UMYr2!J38+UMYr3!J38+UMYr4!J38+UMYr5!J38</f>
        <v>0</v>
      </c>
      <c r="Q38" s="265">
        <f>O38+P38</f>
        <v>0</v>
      </c>
      <c r="AC38" s="198"/>
      <c r="AD38" s="198"/>
      <c r="AE38" s="198"/>
      <c r="AF38" s="198"/>
      <c r="AG38" s="198"/>
      <c r="AH38" s="198"/>
      <c r="AJ38" s="198"/>
    </row>
    <row r="39" spans="1:36" ht="12.95" customHeight="1">
      <c r="A39" s="679">
        <f>IF(UMYr3!A39&lt;&gt;"",UMYr3!A39,"")</f>
        <v>60204</v>
      </c>
      <c r="B39" s="679" t="str">
        <f>IF(UMYr3!B39&lt;&gt;"",UMYr3!B39,"")</f>
        <v/>
      </c>
      <c r="C39" s="27" t="str">
        <f>UMYr1!C39</f>
        <v>Travel (out of state)</v>
      </c>
      <c r="D39" s="106">
        <f>Sponsor!G39</f>
        <v>0</v>
      </c>
      <c r="E39" s="8"/>
      <c r="F39" s="8"/>
      <c r="G39" s="8"/>
      <c r="H39" s="8"/>
      <c r="I39" s="8"/>
      <c r="J39" s="31">
        <f>SUM(E39:I39)</f>
        <v>0</v>
      </c>
      <c r="K39" s="32">
        <f>D39+J39</f>
        <v>0</v>
      </c>
      <c r="L39" s="8"/>
      <c r="M39" s="8"/>
      <c r="N39" s="32">
        <f>SUM(K39:M39)</f>
        <v>0</v>
      </c>
      <c r="O39" s="263">
        <f>UMYr1!D39+UMYr2!D39+UMYr3!D39+UMYr4!D39+UMYr5!D39</f>
        <v>0</v>
      </c>
      <c r="P39" s="264">
        <f>UMYr1!J39+UMYr2!J39+UMYr3!J39+UMYr4!J39+UMYr5!J39</f>
        <v>0</v>
      </c>
      <c r="Q39" s="266">
        <f>O39+P39</f>
        <v>0</v>
      </c>
      <c r="AC39" s="198"/>
      <c r="AD39" s="198"/>
      <c r="AE39" s="198"/>
      <c r="AF39" s="198"/>
      <c r="AG39" s="198"/>
      <c r="AH39" s="198"/>
      <c r="AJ39" s="198"/>
    </row>
    <row r="40" spans="1:36" ht="12.95" customHeight="1">
      <c r="A40" s="679">
        <f>IF(UMYr3!A40&lt;&gt;"",UMYr3!A40,"")</f>
        <v>60201</v>
      </c>
      <c r="B40" s="679" t="str">
        <f>IF(UMYr3!B40&lt;&gt;"",UMYr3!B40,"")</f>
        <v/>
      </c>
      <c r="C40" s="27" t="s">
        <v>526</v>
      </c>
      <c r="D40" s="106">
        <f>Sponsor!G40</f>
        <v>0</v>
      </c>
      <c r="E40" s="8"/>
      <c r="F40" s="8"/>
      <c r="G40" s="8"/>
      <c r="H40" s="8"/>
      <c r="I40" s="8"/>
      <c r="J40" s="31">
        <f>SUM(E40:I40)</f>
        <v>0</v>
      </c>
      <c r="K40" s="32">
        <f>D40+J40</f>
        <v>0</v>
      </c>
      <c r="L40" s="8"/>
      <c r="M40" s="8"/>
      <c r="N40" s="32">
        <f>SUM(K40:M40)</f>
        <v>0</v>
      </c>
      <c r="O40" s="263">
        <f>UMYr1!D40+UMYr2!D40+UMYr3!D40+UMYr4!D40+UMYr5!D40</f>
        <v>0</v>
      </c>
      <c r="P40" s="264">
        <f>UMYr1!J40+UMYr2!J40+UMYr3!J40+UMYr4!J40+UMYr5!J40</f>
        <v>0</v>
      </c>
      <c r="Q40" s="266">
        <f>O40+P40</f>
        <v>0</v>
      </c>
      <c r="AC40" s="198"/>
      <c r="AD40" s="198"/>
      <c r="AE40" s="198"/>
      <c r="AF40" s="198"/>
      <c r="AG40" s="198"/>
      <c r="AH40" s="198"/>
      <c r="AJ40" s="198"/>
    </row>
    <row r="41" spans="1:36" ht="12.95" customHeight="1">
      <c r="A41" s="679">
        <f>IF(UMYr3!A41&lt;&gt;"",UMYr3!A41,"")</f>
        <v>60200</v>
      </c>
      <c r="B41" s="679" t="str">
        <f>IF(UMYr3!B41&lt;&gt;"",UMYr3!B41,"")</f>
        <v/>
      </c>
      <c r="C41" s="27" t="s">
        <v>13</v>
      </c>
      <c r="D41" s="106">
        <f>Sponsor!G41</f>
        <v>0</v>
      </c>
      <c r="E41" s="8"/>
      <c r="F41" s="8"/>
      <c r="G41" s="8"/>
      <c r="H41" s="8"/>
      <c r="I41" s="8"/>
      <c r="J41" s="31">
        <f>SUM(E41:I41)</f>
        <v>0</v>
      </c>
      <c r="K41" s="32">
        <f>D41+J41</f>
        <v>0</v>
      </c>
      <c r="L41" s="8"/>
      <c r="M41" s="8"/>
      <c r="N41" s="32">
        <f>SUM(K41:M41)</f>
        <v>0</v>
      </c>
      <c r="O41" s="263">
        <f>UMYr1!D41+UMYr2!D41+UMYr3!D41+UMYr4!D41+UMYr5!D41</f>
        <v>0</v>
      </c>
      <c r="P41" s="264">
        <f>UMYr1!J41+UMYr2!J41+UMYr3!J41+UMYr4!J41+UMYr5!J41</f>
        <v>0</v>
      </c>
      <c r="Q41" s="266">
        <f>O41+P41</f>
        <v>0</v>
      </c>
      <c r="AC41" s="198"/>
      <c r="AD41" s="198"/>
      <c r="AE41" s="198"/>
      <c r="AF41" s="198"/>
      <c r="AG41" s="198"/>
      <c r="AH41" s="198"/>
      <c r="AJ41" s="198"/>
    </row>
    <row r="42" spans="1:36" ht="12.95" customHeight="1">
      <c r="A42" s="156" t="str">
        <f>IF(UMYr3!A42&lt;&gt;"",UMYr3!A42,"")</f>
        <v/>
      </c>
      <c r="B42" s="873" t="s">
        <v>527</v>
      </c>
      <c r="C42" s="753"/>
      <c r="D42" s="26">
        <f>Sponsor!G42</f>
        <v>0</v>
      </c>
      <c r="E42" s="34">
        <f>SUM(E38:E41)</f>
        <v>0</v>
      </c>
      <c r="F42" s="34">
        <f>SUM(F38:F41)</f>
        <v>0</v>
      </c>
      <c r="G42" s="34">
        <f>SUM(G38:G41)</f>
        <v>0</v>
      </c>
      <c r="H42" s="34">
        <f>SUM(H38:H41)</f>
        <v>0</v>
      </c>
      <c r="I42" s="34">
        <f>SUM(I38:I41)</f>
        <v>0</v>
      </c>
      <c r="J42" s="31">
        <f>SUM(E42:I42)</f>
        <v>0</v>
      </c>
      <c r="K42" s="32">
        <f>D42+J42</f>
        <v>0</v>
      </c>
      <c r="L42" s="34">
        <f>SUM(L38:L41)</f>
        <v>0</v>
      </c>
      <c r="M42" s="34">
        <f>SUM(M38:M41)</f>
        <v>0</v>
      </c>
      <c r="N42" s="26">
        <f>SUM(K42:M42)</f>
        <v>0</v>
      </c>
      <c r="O42" s="263">
        <f>UMYr1!D42+UMYr2!D42+UMYr3!D42+UMYr4!D42+UMYr5!D42</f>
        <v>0</v>
      </c>
      <c r="P42" s="264">
        <f>UMYr1!J42+UMYr2!J42+UMYr3!J42+UMYr4!J42+UMYr5!J42</f>
        <v>0</v>
      </c>
      <c r="Q42" s="311">
        <f>O42+P42</f>
        <v>0</v>
      </c>
      <c r="AC42" s="198"/>
      <c r="AD42" s="198"/>
      <c r="AE42" s="198"/>
      <c r="AF42" s="198"/>
      <c r="AG42" s="198"/>
      <c r="AH42" s="198"/>
      <c r="AJ42" s="198"/>
    </row>
    <row r="43" spans="1:36" ht="12.95" customHeight="1">
      <c r="A43" s="156" t="str">
        <f>IF(UMYr3!A43&lt;&gt;"",UMYr3!A43,"")</f>
        <v/>
      </c>
      <c r="B43" s="82" t="str">
        <f>IF(UMYr1!B43="","",UMYr1!B43)</f>
        <v>OTHER DIRECT COSTS - account codes must be entered in Sponsor tab</v>
      </c>
      <c r="C43" s="28"/>
      <c r="D43" s="28"/>
      <c r="E43" s="28"/>
      <c r="F43" s="28"/>
      <c r="G43" s="28"/>
      <c r="H43" s="28"/>
      <c r="I43" s="28"/>
      <c r="J43" s="28"/>
      <c r="K43" s="28"/>
      <c r="L43" s="28"/>
      <c r="M43" s="28"/>
      <c r="N43" s="190"/>
      <c r="O43" s="1067"/>
      <c r="P43" s="1047"/>
      <c r="Q43" s="1028"/>
      <c r="AJ43" s="198"/>
    </row>
    <row r="44" spans="1:36" ht="12.95" customHeight="1">
      <c r="A44" s="679">
        <f>IF(UMYr3!A44&lt;&gt;"",UMYr3!A44,"")</f>
        <v>61000</v>
      </c>
      <c r="B44" s="679" t="str">
        <f>IF(UMYr3!B44&lt;&gt;"",UMYr3!B44,"")</f>
        <v/>
      </c>
      <c r="C44" s="39" t="str">
        <f>UMYr1!C44</f>
        <v>Materials &amp; Supplies</v>
      </c>
      <c r="D44" s="105">
        <f>Sponsor!G44</f>
        <v>0</v>
      </c>
      <c r="E44" s="8"/>
      <c r="F44" s="8"/>
      <c r="G44" s="8"/>
      <c r="H44" s="8"/>
      <c r="I44" s="8"/>
      <c r="J44" s="31">
        <f t="shared" ref="J44:J53" si="8">SUM(E44:I44)</f>
        <v>0</v>
      </c>
      <c r="K44" s="32">
        <f t="shared" ref="K44:K53" si="9">D44+J44</f>
        <v>0</v>
      </c>
      <c r="L44" s="8"/>
      <c r="M44" s="8"/>
      <c r="N44" s="30">
        <f t="shared" ref="N44:N62" si="10">SUM(K44:M44)</f>
        <v>0</v>
      </c>
      <c r="O44" s="263">
        <f>UMYr1!D44+UMYr2!D44+UMYr3!D44+UMYr4!D44+UMYr5!D44</f>
        <v>0</v>
      </c>
      <c r="P44" s="264">
        <f>UMYr1!J44+UMYr2!J44+UMYr3!J44+UMYr4!J44+UMYr5!J44</f>
        <v>0</v>
      </c>
      <c r="Q44" s="265">
        <f t="shared" ref="Q44:Q53" si="11">O44+P44</f>
        <v>0</v>
      </c>
      <c r="AJ44" s="198"/>
    </row>
    <row r="45" spans="1:36" ht="12.95" customHeight="1">
      <c r="A45" s="679">
        <f>IF(UMYr3!A45&lt;&gt;"",UMYr3!A45,"")</f>
        <v>60002</v>
      </c>
      <c r="B45" s="679" t="str">
        <f>IF(UMYr3!B45&lt;&gt;"",UMYr3!B45,"")</f>
        <v/>
      </c>
      <c r="C45" s="27" t="str">
        <f>UMYr1!C45</f>
        <v>Consultant Services</v>
      </c>
      <c r="D45" s="106">
        <f>Sponsor!G45</f>
        <v>0</v>
      </c>
      <c r="E45" s="8"/>
      <c r="F45" s="8"/>
      <c r="G45" s="8"/>
      <c r="H45" s="8"/>
      <c r="I45" s="8"/>
      <c r="J45" s="31">
        <f t="shared" si="8"/>
        <v>0</v>
      </c>
      <c r="K45" s="32">
        <f t="shared" si="9"/>
        <v>0</v>
      </c>
      <c r="L45" s="8"/>
      <c r="M45" s="8"/>
      <c r="N45" s="32">
        <f t="shared" si="10"/>
        <v>0</v>
      </c>
      <c r="O45" s="263">
        <f>UMYr1!D45+UMYr2!D45+UMYr3!D45+UMYr4!D45+UMYr5!D45</f>
        <v>0</v>
      </c>
      <c r="P45" s="264">
        <f>UMYr1!J45+UMYr2!J45+UMYr3!J45+UMYr4!J45+UMYr5!J45</f>
        <v>0</v>
      </c>
      <c r="Q45" s="266">
        <f t="shared" si="11"/>
        <v>0</v>
      </c>
      <c r="AC45" s="198"/>
      <c r="AD45" s="198"/>
      <c r="AE45" s="198"/>
      <c r="AF45" s="198"/>
      <c r="AG45" s="198"/>
      <c r="AH45" s="198"/>
      <c r="AJ45" s="198"/>
    </row>
    <row r="46" spans="1:36" ht="12.95" customHeight="1">
      <c r="A46" s="679">
        <f>IF(UMYr3!A46&lt;&gt;"",UMYr3!A46,"")</f>
        <v>60100</v>
      </c>
      <c r="B46" s="679" t="str">
        <f>IF(UMYr3!B46&lt;&gt;"",UMYr3!B46,"")</f>
        <v/>
      </c>
      <c r="C46" s="27" t="str">
        <f>UMYr1!C46</f>
        <v>Professional Services</v>
      </c>
      <c r="D46" s="106">
        <f>Sponsor!G46</f>
        <v>0</v>
      </c>
      <c r="E46" s="8"/>
      <c r="F46" s="8"/>
      <c r="G46" s="8"/>
      <c r="H46" s="8"/>
      <c r="I46" s="8"/>
      <c r="J46" s="31">
        <f t="shared" si="8"/>
        <v>0</v>
      </c>
      <c r="K46" s="32">
        <f t="shared" si="9"/>
        <v>0</v>
      </c>
      <c r="L46" s="8"/>
      <c r="M46" s="8"/>
      <c r="N46" s="32">
        <f t="shared" si="10"/>
        <v>0</v>
      </c>
      <c r="O46" s="263">
        <f>UMYr1!D46+UMYr2!D46+UMYr3!D46+UMYr4!D46+UMYr5!D46</f>
        <v>0</v>
      </c>
      <c r="P46" s="264">
        <f>UMYr1!J46+UMYr2!J46+UMYr3!J46+UMYr4!J46+UMYr5!J46</f>
        <v>0</v>
      </c>
      <c r="Q46" s="266">
        <f t="shared" si="11"/>
        <v>0</v>
      </c>
      <c r="AC46" s="198"/>
      <c r="AD46" s="198"/>
      <c r="AE46" s="198"/>
      <c r="AF46" s="198"/>
      <c r="AG46" s="198"/>
      <c r="AH46" s="198"/>
      <c r="AJ46" s="198"/>
    </row>
    <row r="47" spans="1:36" ht="12.95" customHeight="1">
      <c r="A47" s="679">
        <f>IF(UMYr3!A47&lt;&gt;"",UMYr3!A47,"")</f>
        <v>62000</v>
      </c>
      <c r="B47" s="679" t="str">
        <f>IF(UMYr3!B47&lt;&gt;"",UMYr3!B47,"")</f>
        <v/>
      </c>
      <c r="C47" s="27" t="str">
        <f>UMYr1!C47</f>
        <v>Non-Capital Equipment</v>
      </c>
      <c r="D47" s="106">
        <f>Sponsor!G47</f>
        <v>0</v>
      </c>
      <c r="E47" s="8"/>
      <c r="F47" s="8"/>
      <c r="G47" s="8"/>
      <c r="H47" s="8"/>
      <c r="I47" s="8"/>
      <c r="J47" s="31">
        <f t="shared" si="8"/>
        <v>0</v>
      </c>
      <c r="K47" s="32">
        <f t="shared" si="9"/>
        <v>0</v>
      </c>
      <c r="L47" s="8"/>
      <c r="M47" s="8"/>
      <c r="N47" s="32">
        <f t="shared" si="10"/>
        <v>0</v>
      </c>
      <c r="O47" s="263">
        <f>UMYr1!D47+UMYr2!D47+UMYr3!D47+UMYr4!D47+UMYr5!D47</f>
        <v>0</v>
      </c>
      <c r="P47" s="264">
        <f>UMYr1!J47+UMYr2!J47+UMYr3!J47+UMYr4!J47+UMYr5!J47</f>
        <v>0</v>
      </c>
      <c r="Q47" s="266">
        <f t="shared" si="11"/>
        <v>0</v>
      </c>
      <c r="AC47" s="198"/>
      <c r="AD47" s="198"/>
      <c r="AE47" s="198"/>
      <c r="AF47" s="198"/>
      <c r="AG47" s="198"/>
      <c r="AH47" s="198"/>
      <c r="AJ47" s="198"/>
    </row>
    <row r="48" spans="1:36" ht="12.95" customHeight="1">
      <c r="A48" s="679" t="str">
        <f>IF(UMYr3!A48&lt;&gt;"",UMYr3!A48,"")</f>
        <v/>
      </c>
      <c r="B48" s="679" t="str">
        <f>IF(UMYr3!B48&lt;&gt;"",UMYr3!B48,"")</f>
        <v/>
      </c>
      <c r="C48" s="27" t="str">
        <f>UMYr1!C48</f>
        <v>Subrecipients (enter below)</v>
      </c>
      <c r="D48" s="108">
        <f>Sponsor!G48</f>
        <v>0</v>
      </c>
      <c r="E48" s="129">
        <f>E183</f>
        <v>0</v>
      </c>
      <c r="F48" s="129">
        <f>F183</f>
        <v>0</v>
      </c>
      <c r="G48" s="129">
        <f>G183</f>
        <v>0</v>
      </c>
      <c r="H48" s="129">
        <f>H183</f>
        <v>0</v>
      </c>
      <c r="I48" s="129">
        <f>I183</f>
        <v>0</v>
      </c>
      <c r="J48" s="43">
        <f t="shared" si="8"/>
        <v>0</v>
      </c>
      <c r="K48" s="32">
        <f t="shared" si="9"/>
        <v>0</v>
      </c>
      <c r="L48" s="23">
        <f>L183</f>
        <v>0</v>
      </c>
      <c r="M48" s="23">
        <f>M183</f>
        <v>0</v>
      </c>
      <c r="N48" s="25">
        <f t="shared" si="10"/>
        <v>0</v>
      </c>
      <c r="O48" s="263">
        <f>UMYr1!D48+UMYr2!D48+UMYr3!D48+UMYr4!D48+UMYr5!D48</f>
        <v>0</v>
      </c>
      <c r="P48" s="268">
        <f>UMYr1!J48+UMYr2!J48+UMYr3!J48+UMYr4!J48+UMYr5!J48</f>
        <v>0</v>
      </c>
      <c r="Q48" s="266">
        <f t="shared" si="11"/>
        <v>0</v>
      </c>
      <c r="AC48" s="198"/>
      <c r="AD48" s="198"/>
      <c r="AE48" s="198"/>
      <c r="AF48" s="198"/>
      <c r="AG48" s="198"/>
      <c r="AH48" s="198"/>
      <c r="AJ48" s="198"/>
    </row>
    <row r="49" spans="1:36" ht="12.95" customHeight="1">
      <c r="A49" s="679">
        <f>IF(UMYr3!A49&lt;&gt;"",UMYr3!A49,"")</f>
        <v>55300</v>
      </c>
      <c r="B49" s="679" t="str">
        <f>IF(UMYr3!B49&lt;&gt;"",UMYr3!B49,"")</f>
        <v/>
      </c>
      <c r="C49" s="27" t="str">
        <f>UMYr1!C49</f>
        <v>Tuition</v>
      </c>
      <c r="D49" s="106">
        <f>Sponsor!G49</f>
        <v>0</v>
      </c>
      <c r="E49" s="8"/>
      <c r="F49" s="8"/>
      <c r="G49" s="8"/>
      <c r="H49" s="8"/>
      <c r="I49" s="8"/>
      <c r="J49" s="31">
        <f t="shared" si="8"/>
        <v>0</v>
      </c>
      <c r="K49" s="32">
        <f t="shared" si="9"/>
        <v>0</v>
      </c>
      <c r="L49" s="8"/>
      <c r="M49" s="8"/>
      <c r="N49" s="32">
        <f t="shared" si="10"/>
        <v>0</v>
      </c>
      <c r="O49" s="263">
        <f>UMYr1!D49+UMYr2!D49+UMYr3!D49+UMYr4!D49+UMYr5!D49</f>
        <v>0</v>
      </c>
      <c r="P49" s="264">
        <f>UMYr1!J49+UMYr2!J49+UMYr3!J49+UMYr4!J49+UMYr5!J49</f>
        <v>0</v>
      </c>
      <c r="Q49" s="266">
        <f t="shared" si="11"/>
        <v>0</v>
      </c>
      <c r="AC49" s="198"/>
      <c r="AD49" s="198"/>
      <c r="AE49" s="198"/>
      <c r="AF49" s="198"/>
      <c r="AG49" s="198"/>
      <c r="AH49" s="198"/>
      <c r="AJ49" s="198"/>
    </row>
    <row r="50" spans="1:36" ht="12.95" customHeight="1">
      <c r="A50" s="679">
        <f>IF(UMYr3!A50&lt;&gt;"",UMYr3!A50,"")</f>
        <v>54113</v>
      </c>
      <c r="B50" s="679" t="str">
        <f>IF(UMYr3!B50&lt;&gt;"",UMYr3!B50,"")</f>
        <v/>
      </c>
      <c r="C50" s="27" t="str">
        <f>UMYr1!C50</f>
        <v>Grad Student Health Insurance</v>
      </c>
      <c r="D50" s="106">
        <f>Sponsor!G50</f>
        <v>0</v>
      </c>
      <c r="E50" s="8"/>
      <c r="F50" s="8"/>
      <c r="G50" s="8"/>
      <c r="H50" s="8"/>
      <c r="I50" s="8"/>
      <c r="J50" s="31">
        <f t="shared" si="8"/>
        <v>0</v>
      </c>
      <c r="K50" s="32">
        <f t="shared" si="9"/>
        <v>0</v>
      </c>
      <c r="L50" s="8"/>
      <c r="M50" s="8"/>
      <c r="N50" s="32">
        <f>SUM(K50:M50)</f>
        <v>0</v>
      </c>
      <c r="O50" s="263">
        <f>UMYr1!D50+UMYr2!D50+UMYr3!D50+UMYr4!D50+UMYr5!D50</f>
        <v>0</v>
      </c>
      <c r="P50" s="264">
        <f>UMYr1!J50+UMYr2!J50+UMYr3!J50+UMYr4!J50+UMYr5!J50</f>
        <v>0</v>
      </c>
      <c r="Q50" s="266">
        <f t="shared" si="11"/>
        <v>0</v>
      </c>
      <c r="AC50" s="198"/>
      <c r="AD50" s="198"/>
      <c r="AE50" s="198"/>
      <c r="AF50" s="198"/>
      <c r="AG50" s="198"/>
      <c r="AH50" s="198"/>
      <c r="AJ50" s="198"/>
    </row>
    <row r="51" spans="1:36" ht="12.95" customHeight="1">
      <c r="A51" s="679" t="str">
        <f>IF(UMYr3!A51&lt;&gt;"",UMYr3!A51,"")</f>
        <v>Below</v>
      </c>
      <c r="B51" s="682" t="str">
        <f>IF(UMYr3!B51&lt;&gt;"",UMYr3!B51,"")</f>
        <v/>
      </c>
      <c r="C51" s="27" t="s">
        <v>538</v>
      </c>
      <c r="D51" s="106">
        <f>Sponsor!G51</f>
        <v>0</v>
      </c>
      <c r="E51" s="31">
        <f>E120</f>
        <v>0</v>
      </c>
      <c r="F51" s="31">
        <f>F120</f>
        <v>0</v>
      </c>
      <c r="G51" s="31">
        <f>G120</f>
        <v>0</v>
      </c>
      <c r="H51" s="31">
        <f>H120</f>
        <v>0</v>
      </c>
      <c r="I51" s="31">
        <f>I120</f>
        <v>0</v>
      </c>
      <c r="J51" s="31">
        <f t="shared" si="8"/>
        <v>0</v>
      </c>
      <c r="K51" s="32">
        <f t="shared" si="9"/>
        <v>0</v>
      </c>
      <c r="L51" s="31">
        <f>L120</f>
        <v>0</v>
      </c>
      <c r="M51" s="31">
        <f>M120</f>
        <v>0</v>
      </c>
      <c r="N51" s="32">
        <f t="shared" si="10"/>
        <v>0</v>
      </c>
      <c r="O51" s="263">
        <f>UMYr1!D51+UMYr2!D51+UMYr3!D51+UMYr4!D51+UMYr5!D51</f>
        <v>0</v>
      </c>
      <c r="P51" s="264">
        <f>UMYr1!J51+UMYr2!J51+UMYr3!J51+UMYr4!J51+UMYr5!J51</f>
        <v>0</v>
      </c>
      <c r="Q51" s="266">
        <f t="shared" si="11"/>
        <v>0</v>
      </c>
      <c r="AC51" s="198"/>
      <c r="AD51" s="198"/>
      <c r="AE51" s="198"/>
      <c r="AF51" s="198"/>
      <c r="AG51" s="198"/>
      <c r="AH51" s="198"/>
      <c r="AJ51" s="198"/>
    </row>
    <row r="52" spans="1:36" ht="12.95" customHeight="1" thickBot="1">
      <c r="A52" s="156" t="str">
        <f>IF(UMYr3!A52&lt;&gt;"",UMYr3!A52,"")</f>
        <v/>
      </c>
      <c r="B52" s="871" t="s">
        <v>540</v>
      </c>
      <c r="C52" s="811"/>
      <c r="D52" s="44">
        <f>Sponsor!G52</f>
        <v>0</v>
      </c>
      <c r="E52" s="269">
        <f>SUM(E44:E51)</f>
        <v>0</v>
      </c>
      <c r="F52" s="269">
        <f>SUM(F44:F51)</f>
        <v>0</v>
      </c>
      <c r="G52" s="269">
        <f>SUM(G44:G51)</f>
        <v>0</v>
      </c>
      <c r="H52" s="269">
        <f>SUM(H44:H51)</f>
        <v>0</v>
      </c>
      <c r="I52" s="269">
        <f>SUM(I44:I51)</f>
        <v>0</v>
      </c>
      <c r="J52" s="269">
        <f t="shared" si="8"/>
        <v>0</v>
      </c>
      <c r="K52" s="270">
        <f t="shared" si="9"/>
        <v>0</v>
      </c>
      <c r="L52" s="269">
        <f>SUM(L44:L51)</f>
        <v>0</v>
      </c>
      <c r="M52" s="269">
        <f>SUM(M44:M51)</f>
        <v>0</v>
      </c>
      <c r="N52" s="44">
        <f t="shared" si="10"/>
        <v>0</v>
      </c>
      <c r="O52" s="271">
        <f>UMYr1!D52+UMYr2!D52+UMYr3!D52+UMYr4!D52+UMYr5!D52</f>
        <v>0</v>
      </c>
      <c r="P52" s="272">
        <f>UMYr1!J52+UMYr2!J52+UMYr3!J52+UMYr4!J52+UMYr5!J52</f>
        <v>0</v>
      </c>
      <c r="Q52" s="266">
        <f t="shared" si="11"/>
        <v>0</v>
      </c>
      <c r="AC52" s="198"/>
      <c r="AD52" s="198"/>
      <c r="AE52" s="198"/>
      <c r="AF52" s="198"/>
      <c r="AG52" s="198"/>
      <c r="AH52" s="198"/>
      <c r="AJ52" s="198"/>
    </row>
    <row r="53" spans="1:36" ht="12.95" customHeight="1" thickTop="1">
      <c r="A53" s="156" t="str">
        <f>IF(UMYr3!A53&lt;&gt;"",UMYr3!A53,"")</f>
        <v/>
      </c>
      <c r="B53" s="1052" t="s">
        <v>656</v>
      </c>
      <c r="C53" s="1053"/>
      <c r="D53" s="45">
        <f>Sponsor!G53</f>
        <v>0</v>
      </c>
      <c r="E53" s="23">
        <f>E52+E42+E31+E26+E36</f>
        <v>0</v>
      </c>
      <c r="F53" s="23">
        <f>F52+F42+F31+F26+F36</f>
        <v>0</v>
      </c>
      <c r="G53" s="23">
        <f>G52+G42+G31+G26+G36</f>
        <v>0</v>
      </c>
      <c r="H53" s="23">
        <f>H52+H42+H31+H26+H36</f>
        <v>0</v>
      </c>
      <c r="I53" s="23">
        <f>I52+I42+I31+I26+I36</f>
        <v>0</v>
      </c>
      <c r="J53" s="31">
        <f t="shared" si="8"/>
        <v>0</v>
      </c>
      <c r="K53" s="32">
        <f t="shared" si="9"/>
        <v>0</v>
      </c>
      <c r="L53" s="23">
        <f>L52+L42+L35+L33+L31+L26+L34</f>
        <v>0</v>
      </c>
      <c r="M53" s="23">
        <f>M52+M42+M35+M33+M31+M26+M34</f>
        <v>0</v>
      </c>
      <c r="N53" s="25">
        <f t="shared" si="10"/>
        <v>0</v>
      </c>
      <c r="O53" s="278">
        <f>UMYr1!D53+UMYr2!D53+UMYr3!D53+UMYr4!D53+UMYr5!D53</f>
        <v>0</v>
      </c>
      <c r="P53" s="279">
        <f>UMYr1!J53+UMYr2!J53+UMYr3!J53+UMYr4!J53+UMYr5!J53</f>
        <v>0</v>
      </c>
      <c r="Q53" s="383">
        <f t="shared" si="11"/>
        <v>0</v>
      </c>
      <c r="AC53" s="198"/>
      <c r="AD53" s="198"/>
      <c r="AE53" s="198"/>
      <c r="AF53" s="198"/>
      <c r="AG53" s="198"/>
      <c r="AH53" s="198"/>
      <c r="AJ53" s="198"/>
    </row>
    <row r="54" spans="1:36" ht="12.95" customHeight="1">
      <c r="A54" s="315" t="str">
        <f>IF(UMYr3!A54&lt;&gt;"",UMYr3!A54,"")</f>
        <v/>
      </c>
      <c r="B54" s="689">
        <f>IF(UMYr3!B54&lt;&gt;"",UMYr3!B54,"")</f>
        <v>65711</v>
      </c>
      <c r="C54" s="46" t="str">
        <f>UMYr1!C54</f>
        <v>UM  F&amp;A on Direct Costs</v>
      </c>
      <c r="D54" s="868" t="s">
        <v>658</v>
      </c>
      <c r="E54" s="364">
        <f>ROUND(E84*E68,0)</f>
        <v>0</v>
      </c>
      <c r="F54" s="407">
        <f>ROUND(F84*F68,0)</f>
        <v>0</v>
      </c>
      <c r="G54" s="407">
        <f>ROUND(G84*G68,0)</f>
        <v>0</v>
      </c>
      <c r="H54" s="407">
        <f>ROUND(H84*H68,0)</f>
        <v>0</v>
      </c>
      <c r="I54" s="408">
        <f>ROUND(I84*I68,0)</f>
        <v>0</v>
      </c>
      <c r="J54" s="376">
        <f>SUM(E54:I54)</f>
        <v>0</v>
      </c>
      <c r="K54" s="105">
        <f>J54</f>
        <v>0</v>
      </c>
      <c r="L54" s="892"/>
      <c r="M54" s="894"/>
      <c r="N54" s="107">
        <f t="shared" si="10"/>
        <v>0</v>
      </c>
      <c r="O54" s="876" t="s">
        <v>658</v>
      </c>
      <c r="P54" s="413">
        <f>UMYr1!E54+UMYr2!E54+UMYr3!E54+UMYr4!E54+UMYr5!E54</f>
        <v>0</v>
      </c>
      <c r="Q54" s="401">
        <f t="shared" ref="Q54:Q59" si="12">P54</f>
        <v>0</v>
      </c>
      <c r="AC54" s="198"/>
      <c r="AD54" s="198"/>
      <c r="AE54" s="198"/>
      <c r="AF54" s="198"/>
      <c r="AG54" s="198"/>
      <c r="AH54" s="198"/>
      <c r="AJ54" s="198"/>
    </row>
    <row r="55" spans="1:36" ht="12.95" customHeight="1">
      <c r="A55" s="156" t="str">
        <f>IF(UMYr3!A55&lt;&gt;"",UMYr3!A55,"")</f>
        <v/>
      </c>
      <c r="B55" s="689">
        <v>65712</v>
      </c>
      <c r="C55" s="138" t="str">
        <f>UMYr1!C55</f>
        <v>Above Sponsor Cap</v>
      </c>
      <c r="D55" s="937"/>
      <c r="E55" s="398">
        <f>Sponsor!G57</f>
        <v>0</v>
      </c>
      <c r="F55" s="888" t="s">
        <v>658</v>
      </c>
      <c r="G55" s="1050"/>
      <c r="H55" s="1050"/>
      <c r="I55" s="1050"/>
      <c r="J55" s="1037"/>
      <c r="K55" s="32">
        <f>E55</f>
        <v>0</v>
      </c>
      <c r="L55" s="624"/>
      <c r="M55" s="628"/>
      <c r="N55" s="32">
        <f>K55</f>
        <v>0</v>
      </c>
      <c r="O55" s="796"/>
      <c r="P55" s="264">
        <f>UMYr1!E55+UMYr2!E55+UMYr3!E55+UMYr4!E55+UMYr5!E55</f>
        <v>0</v>
      </c>
      <c r="Q55" s="388">
        <f t="shared" si="12"/>
        <v>0</v>
      </c>
    </row>
    <row r="56" spans="1:36" ht="12.95" customHeight="1">
      <c r="A56" s="156" t="str">
        <f>IF(UMYr3!A56&lt;&gt;"",UMYr3!A56,"")</f>
        <v/>
      </c>
      <c r="B56" s="689">
        <v>65713</v>
      </c>
      <c r="C56" s="46" t="str">
        <f>UMYr1!C56</f>
        <v>Required  Cost Sharing</v>
      </c>
      <c r="D56" s="937"/>
      <c r="E56" s="349">
        <f>Sponsor!G58</f>
        <v>0</v>
      </c>
      <c r="F56" s="1033"/>
      <c r="G56" s="1030"/>
      <c r="H56" s="1030"/>
      <c r="I56" s="1030"/>
      <c r="J56" s="1038"/>
      <c r="K56" s="32">
        <f>E56</f>
        <v>0</v>
      </c>
      <c r="L56" s="626"/>
      <c r="M56" s="620"/>
      <c r="N56" s="32">
        <f>K56</f>
        <v>0</v>
      </c>
      <c r="O56" s="796"/>
      <c r="P56" s="264">
        <f>UMYr1!E56+UMYr2!E56+UMYr3!E56+UMYr4!E56+UMYr5!E56</f>
        <v>0</v>
      </c>
      <c r="Q56" s="388">
        <f t="shared" si="12"/>
        <v>0</v>
      </c>
    </row>
    <row r="57" spans="1:36" ht="12.95" customHeight="1">
      <c r="A57" s="405" t="str">
        <f>IF(UMYr3!A57&lt;&gt;"",UMYr3!A57,"")</f>
        <v/>
      </c>
      <c r="B57" s="689">
        <v>65714</v>
      </c>
      <c r="C57" s="134" t="str">
        <f>UMYr1!C57</f>
        <v xml:space="preserve">State Agreement </v>
      </c>
      <c r="D57" s="937"/>
      <c r="E57" s="349">
        <f>Sponsor!G59</f>
        <v>0</v>
      </c>
      <c r="F57" s="1033"/>
      <c r="G57" s="1030"/>
      <c r="H57" s="1030"/>
      <c r="I57" s="1030"/>
      <c r="J57" s="1038"/>
      <c r="K57" s="32">
        <f>E57</f>
        <v>0</v>
      </c>
      <c r="L57" s="626"/>
      <c r="M57" s="620"/>
      <c r="N57" s="32">
        <f>K57</f>
        <v>0</v>
      </c>
      <c r="O57" s="796"/>
      <c r="P57" s="264">
        <f>UMYr1!E57+UMYr2!E57+UMYr3!E57+UMYr4!E57+UMYr5!E57</f>
        <v>0</v>
      </c>
      <c r="Q57" s="388">
        <f t="shared" si="12"/>
        <v>0</v>
      </c>
    </row>
    <row r="58" spans="1:36" ht="12.95" customHeight="1">
      <c r="A58" s="405" t="str">
        <f>IF(UMYr3!A58&lt;&gt;"",UMYr3!A58,"")</f>
        <v/>
      </c>
      <c r="B58" s="689">
        <v>65715</v>
      </c>
      <c r="C58" s="134" t="str">
        <f>UMYr1!C58</f>
        <v>Voluntary Cost Sharing</v>
      </c>
      <c r="D58" s="937"/>
      <c r="E58" s="349">
        <f>Sponsor!G60</f>
        <v>0</v>
      </c>
      <c r="F58" s="1033"/>
      <c r="G58" s="1030"/>
      <c r="H58" s="1030"/>
      <c r="I58" s="1030"/>
      <c r="J58" s="1038"/>
      <c r="K58" s="32">
        <f>E58</f>
        <v>0</v>
      </c>
      <c r="L58" s="626"/>
      <c r="M58" s="620"/>
      <c r="N58" s="32">
        <f>K58</f>
        <v>0</v>
      </c>
      <c r="O58" s="796"/>
      <c r="P58" s="264">
        <f>UMYr1!E58+UMYr2!E58+UMYr3!E58+UMYr4!E58+UMYr5!E58</f>
        <v>0</v>
      </c>
      <c r="Q58" s="388">
        <f t="shared" si="12"/>
        <v>0</v>
      </c>
    </row>
    <row r="59" spans="1:36" ht="12.95" customHeight="1">
      <c r="A59" s="405"/>
      <c r="B59" s="5"/>
      <c r="C59" s="135" t="str">
        <f>UMYr1!C59</f>
        <v xml:space="preserve">Total  F&amp;A Waiver (FACS) </v>
      </c>
      <c r="D59" s="984"/>
      <c r="E59" s="435">
        <f>SUM(E55:E58)</f>
        <v>0</v>
      </c>
      <c r="F59" s="1036"/>
      <c r="G59" s="1061"/>
      <c r="H59" s="1061"/>
      <c r="I59" s="1061"/>
      <c r="J59" s="1062"/>
      <c r="K59" s="32">
        <f>E59</f>
        <v>0</v>
      </c>
      <c r="L59" s="627"/>
      <c r="M59" s="623"/>
      <c r="N59" s="41">
        <f>K59</f>
        <v>0</v>
      </c>
      <c r="O59" s="733"/>
      <c r="P59" s="280">
        <f>UMYr1!E59+UMYr2!E59+UMYr3!E59+UMYr4!E59+UMYr5!E9</f>
        <v>0</v>
      </c>
      <c r="Q59" s="280">
        <f t="shared" si="12"/>
        <v>0</v>
      </c>
    </row>
    <row r="60" spans="1:36" ht="12.95" customHeight="1">
      <c r="A60" s="679">
        <f>IF(UMYr3!A60&lt;&gt;"",UMYr3!A60,"")</f>
        <v>65701</v>
      </c>
      <c r="B60" s="808" t="str">
        <f>UMYr1!B60</f>
        <v>Total F&amp;A Charged</v>
      </c>
      <c r="C60" s="967"/>
      <c r="D60" s="108">
        <f>Sponsor!G54</f>
        <v>0</v>
      </c>
      <c r="E60" s="349">
        <f>E54+E59</f>
        <v>0</v>
      </c>
      <c r="F60" s="384">
        <f>F54</f>
        <v>0</v>
      </c>
      <c r="G60" s="384">
        <f>G54</f>
        <v>0</v>
      </c>
      <c r="H60" s="384">
        <f>H54</f>
        <v>0</v>
      </c>
      <c r="I60" s="384">
        <f>I54</f>
        <v>0</v>
      </c>
      <c r="J60" s="366">
        <f>SUM(E60:I60)</f>
        <v>0</v>
      </c>
      <c r="K60" s="427">
        <f>D60+J60</f>
        <v>0</v>
      </c>
      <c r="L60" s="93">
        <f>ROUND(L84*L69,0)</f>
        <v>0</v>
      </c>
      <c r="M60" s="638">
        <f>ROUND(M84*M69,0)</f>
        <v>0</v>
      </c>
      <c r="N60" s="432">
        <f>D60+J60+L60</f>
        <v>0</v>
      </c>
      <c r="O60" s="263">
        <f>UMYr1!D60+UMYr2!D60+UMYr3!D60+UMYr4!D60+UMYr5!D60</f>
        <v>0</v>
      </c>
      <c r="P60" s="264">
        <f>UMYr1!J60+UMYr2!J60+UMYr3!J60+UMYr4!J60+UMYr5!J60</f>
        <v>0</v>
      </c>
      <c r="Q60" s="388">
        <f>O60+P60</f>
        <v>0</v>
      </c>
    </row>
    <row r="61" spans="1:36" ht="12.95" customHeight="1" thickBot="1">
      <c r="B61" s="689">
        <v>65719</v>
      </c>
      <c r="C61" s="135" t="str">
        <f>UMYr1!C61</f>
        <v xml:space="preserve">UM  F&amp;A Offset </v>
      </c>
      <c r="D61" s="406"/>
      <c r="E61" s="351">
        <f>-E60</f>
        <v>0</v>
      </c>
      <c r="F61" s="372">
        <f>-F60</f>
        <v>0</v>
      </c>
      <c r="G61" s="372">
        <f>-G60</f>
        <v>0</v>
      </c>
      <c r="H61" s="372">
        <f>-H60</f>
        <v>0</v>
      </c>
      <c r="I61" s="372">
        <f>-I60</f>
        <v>0</v>
      </c>
      <c r="J61" s="136">
        <f>SUM(E61:I61)</f>
        <v>0</v>
      </c>
      <c r="K61" s="106">
        <f>J61</f>
        <v>0</v>
      </c>
      <c r="L61" s="409"/>
      <c r="M61" s="624"/>
      <c r="N61" s="108">
        <f>K61</f>
        <v>0</v>
      </c>
      <c r="O61" s="263"/>
      <c r="P61" s="272">
        <f>UMYr1!J61+UMYr2!J61+UMYr3!J61+UMYr4!J61+UMYr5!J61</f>
        <v>0</v>
      </c>
      <c r="Q61" s="412">
        <f>P61</f>
        <v>0</v>
      </c>
    </row>
    <row r="62" spans="1:36" ht="12.95" customHeight="1" thickTop="1">
      <c r="A62" s="156" t="str">
        <f>IF(UMYr3!A62&lt;&gt;"",UMYr3!A62,"")</f>
        <v/>
      </c>
      <c r="B62" s="985" t="s">
        <v>544</v>
      </c>
      <c r="C62" s="942"/>
      <c r="D62" s="522">
        <f>Sponsor!G55</f>
        <v>0</v>
      </c>
      <c r="E62" s="523">
        <f t="shared" ref="E62:J62" si="13">E53+E60</f>
        <v>0</v>
      </c>
      <c r="F62" s="523">
        <f t="shared" si="13"/>
        <v>0</v>
      </c>
      <c r="G62" s="523">
        <f t="shared" si="13"/>
        <v>0</v>
      </c>
      <c r="H62" s="523">
        <f t="shared" si="13"/>
        <v>0</v>
      </c>
      <c r="I62" s="523">
        <f t="shared" si="13"/>
        <v>0</v>
      </c>
      <c r="J62" s="523">
        <f t="shared" si="13"/>
        <v>0</v>
      </c>
      <c r="K62" s="524">
        <f>D62+J62</f>
        <v>0</v>
      </c>
      <c r="L62" s="525">
        <f>SUM(L53:L60)</f>
        <v>0</v>
      </c>
      <c r="M62" s="523">
        <f>SUM(M53:M60)</f>
        <v>0</v>
      </c>
      <c r="N62" s="524">
        <f t="shared" si="10"/>
        <v>0</v>
      </c>
      <c r="O62" s="523">
        <f>UMYr1!D62+UMYr2!D62+UMYr3!D62+UMYr4!D62+UMYr5!D62</f>
        <v>0</v>
      </c>
      <c r="P62" s="526">
        <f>UMYr1!J62+UMYr2!J62+UMYr3!J62+UMYr4!J62+UMYr5!J62</f>
        <v>0</v>
      </c>
      <c r="Q62" s="522">
        <f>O62+P62</f>
        <v>0</v>
      </c>
    </row>
    <row r="63" spans="1:36" ht="12.95" customHeight="1">
      <c r="A63" s="156" t="str">
        <f>IF(UMYr3!A63&lt;&gt;"",UMYr3!A63,"")</f>
        <v/>
      </c>
      <c r="B63" s="909" t="s">
        <v>662</v>
      </c>
      <c r="C63" s="910"/>
      <c r="D63" s="673">
        <f>D62-D42</f>
        <v>0</v>
      </c>
      <c r="E63" s="521">
        <f t="shared" ref="E63:Q63" si="14">E62-E42</f>
        <v>0</v>
      </c>
      <c r="F63" s="521">
        <f t="shared" si="14"/>
        <v>0</v>
      </c>
      <c r="G63" s="521">
        <f t="shared" si="14"/>
        <v>0</v>
      </c>
      <c r="H63" s="521">
        <f t="shared" si="14"/>
        <v>0</v>
      </c>
      <c r="I63" s="521">
        <f t="shared" si="14"/>
        <v>0</v>
      </c>
      <c r="J63" s="521">
        <f t="shared" si="14"/>
        <v>0</v>
      </c>
      <c r="K63" s="673">
        <f t="shared" si="14"/>
        <v>0</v>
      </c>
      <c r="L63" s="521">
        <f t="shared" si="14"/>
        <v>0</v>
      </c>
      <c r="M63" s="521">
        <f t="shared" si="14"/>
        <v>0</v>
      </c>
      <c r="N63" s="673">
        <f t="shared" si="14"/>
        <v>0</v>
      </c>
      <c r="O63" s="527">
        <f t="shared" si="14"/>
        <v>0</v>
      </c>
      <c r="P63" s="528">
        <f t="shared" si="14"/>
        <v>0</v>
      </c>
      <c r="Q63" s="528">
        <f t="shared" si="14"/>
        <v>0</v>
      </c>
    </row>
    <row r="64" spans="1:36" ht="12.95" customHeight="1">
      <c r="A64" s="156" t="str">
        <f>IF(UMYr3!A64&lt;&gt;"",UMYr3!A64,"")</f>
        <v/>
      </c>
      <c r="B64" s="1068" t="s">
        <v>663</v>
      </c>
      <c r="C64" s="1061"/>
      <c r="D64" s="1061"/>
      <c r="E64" s="1061"/>
      <c r="F64" s="1061"/>
      <c r="G64" s="1061"/>
      <c r="H64" s="1061"/>
      <c r="I64" s="1061"/>
      <c r="J64" s="1061"/>
      <c r="K64" s="1061"/>
      <c r="L64" s="1061"/>
      <c r="M64" s="1061"/>
      <c r="N64" s="1062"/>
      <c r="R64" s="221"/>
      <c r="S64" s="221"/>
    </row>
    <row r="65" spans="1:26" ht="12.95" customHeight="1">
      <c r="A65" s="156" t="str">
        <f>IF(UMYr3!A65&lt;&gt;"",UMYr3!A65,"")</f>
        <v/>
      </c>
      <c r="B65" s="912" t="s">
        <v>556</v>
      </c>
      <c r="C65" s="1047"/>
      <c r="D65" s="1047"/>
      <c r="E65" s="1047"/>
      <c r="F65" s="1047"/>
      <c r="G65" s="1047"/>
      <c r="H65" s="1047"/>
      <c r="I65" s="1047"/>
      <c r="J65" s="1047"/>
      <c r="K65" s="1047"/>
      <c r="L65" s="1047"/>
      <c r="M65" s="1047"/>
      <c r="N65" s="1028"/>
      <c r="R65" s="135"/>
    </row>
    <row r="66" spans="1:26" ht="12.95" customHeight="1">
      <c r="A66" s="156" t="str">
        <f>IF(UMYr3!A66&lt;&gt;"",UMYr3!A66,"")</f>
        <v/>
      </c>
      <c r="B66" s="831" t="s">
        <v>558</v>
      </c>
      <c r="C66" s="772"/>
      <c r="D66" s="120">
        <f>Sponsor!G67</f>
        <v>0.437</v>
      </c>
      <c r="E66" s="631">
        <f>D66</f>
        <v>0.437</v>
      </c>
      <c r="F66" s="631">
        <f>D66</f>
        <v>0.437</v>
      </c>
      <c r="G66" s="631">
        <f>D66</f>
        <v>0.437</v>
      </c>
      <c r="H66" s="631">
        <f>D66</f>
        <v>0.437</v>
      </c>
      <c r="I66" s="631">
        <f>D66</f>
        <v>0.437</v>
      </c>
      <c r="J66" s="49"/>
      <c r="K66" s="50"/>
      <c r="L66" s="49">
        <f>$D$66</f>
        <v>0.437</v>
      </c>
      <c r="M66" s="51">
        <f>$D$66</f>
        <v>0.437</v>
      </c>
      <c r="N66" s="284"/>
      <c r="O66" s="285"/>
      <c r="P66" s="285"/>
      <c r="R66" s="135"/>
    </row>
    <row r="67" spans="1:26" ht="12.95" customHeight="1">
      <c r="A67" s="156" t="str">
        <f>IF(UMYr3!A67&lt;&gt;"",UMYr3!A67,"")</f>
        <v/>
      </c>
      <c r="B67" s="764" t="s">
        <v>559</v>
      </c>
      <c r="C67" s="763"/>
      <c r="D67" s="121">
        <f>Sponsor!G68</f>
        <v>7.6999999999999999E-2</v>
      </c>
      <c r="E67" s="632">
        <f>D67</f>
        <v>7.6999999999999999E-2</v>
      </c>
      <c r="F67" s="53">
        <f>D67</f>
        <v>7.6999999999999999E-2</v>
      </c>
      <c r="G67" s="53">
        <f>D67</f>
        <v>7.6999999999999999E-2</v>
      </c>
      <c r="H67" s="53">
        <f>D67</f>
        <v>7.6999999999999999E-2</v>
      </c>
      <c r="I67" s="53">
        <f>D67</f>
        <v>7.6999999999999999E-2</v>
      </c>
      <c r="J67" s="57"/>
      <c r="K67" s="54"/>
      <c r="L67" s="53">
        <f>$D$67</f>
        <v>7.6999999999999999E-2</v>
      </c>
      <c r="M67" s="55">
        <f>$D$67</f>
        <v>7.6999999999999999E-2</v>
      </c>
      <c r="N67" s="286"/>
      <c r="O67" s="285"/>
      <c r="P67" s="285"/>
      <c r="R67" s="135"/>
    </row>
    <row r="68" spans="1:26" ht="12.95" customHeight="1">
      <c r="A68" s="156" t="str">
        <f>IF(UMYr3!A68&lt;&gt;"",UMYr3!A68,"")</f>
        <v/>
      </c>
      <c r="B68" s="992" t="str">
        <f>UMYr3!B68</f>
        <v>F&amp;A RATE     On-Campus</v>
      </c>
      <c r="C68" s="763"/>
      <c r="D68" s="121">
        <f>Sponsor!G69</f>
        <v>0.47699999999999998</v>
      </c>
      <c r="E68" s="632">
        <f>D68</f>
        <v>0.47699999999999998</v>
      </c>
      <c r="F68" s="56">
        <f>D68</f>
        <v>0.47699999999999998</v>
      </c>
      <c r="G68" s="53">
        <f>D68</f>
        <v>0.47699999999999998</v>
      </c>
      <c r="H68" s="53">
        <f>D68</f>
        <v>0.47699999999999998</v>
      </c>
      <c r="I68" s="53">
        <f>D68</f>
        <v>0.47699999999999998</v>
      </c>
      <c r="J68" s="89">
        <f>I68</f>
        <v>0.47699999999999998</v>
      </c>
      <c r="K68" s="27"/>
      <c r="L68" s="17">
        <f>$D$68</f>
        <v>0.47699999999999998</v>
      </c>
      <c r="M68" s="615">
        <f>$D$68</f>
        <v>0.47699999999999998</v>
      </c>
      <c r="N68" s="286"/>
      <c r="O68" s="285"/>
      <c r="P68" s="285"/>
      <c r="R68" s="135"/>
      <c r="S68" s="223"/>
    </row>
    <row r="69" spans="1:26" ht="12.95" customHeight="1" thickBot="1">
      <c r="A69" s="156" t="str">
        <f>IF(UMYr3!A69&lt;&gt;"",UMYr3!A69,"")</f>
        <v/>
      </c>
      <c r="B69" s="902" t="str">
        <f>UMYr3!B69</f>
        <v>F&amp;A RATE CHARGED</v>
      </c>
      <c r="C69" s="775"/>
      <c r="D69" s="122">
        <f>Sponsor!G70</f>
        <v>0.47699999999999998</v>
      </c>
      <c r="E69" s="633">
        <f>D69</f>
        <v>0.47699999999999998</v>
      </c>
      <c r="F69" s="224">
        <f>D69</f>
        <v>0.47699999999999998</v>
      </c>
      <c r="G69" s="630">
        <f>D69</f>
        <v>0.47699999999999998</v>
      </c>
      <c r="H69" s="224">
        <f>D69</f>
        <v>0.47699999999999998</v>
      </c>
      <c r="I69" s="224">
        <f>D69</f>
        <v>0.47699999999999998</v>
      </c>
      <c r="J69" s="224">
        <f>I69</f>
        <v>0.47699999999999998</v>
      </c>
      <c r="K69" s="59"/>
      <c r="L69" s="616">
        <v>0</v>
      </c>
      <c r="M69" s="617">
        <v>0</v>
      </c>
      <c r="N69" s="288"/>
      <c r="O69" s="223"/>
      <c r="P69" s="223"/>
    </row>
    <row r="70" spans="1:26" ht="12.95" customHeight="1">
      <c r="A70" s="156" t="str">
        <f>IF(UMYr3!A70&lt;&gt;"",UMYr3!A70,"")</f>
        <v/>
      </c>
      <c r="B70" s="83" t="s">
        <v>563</v>
      </c>
      <c r="C70" s="227"/>
      <c r="D70" s="227"/>
      <c r="E70" s="227"/>
      <c r="F70" s="227"/>
      <c r="G70" s="227"/>
      <c r="H70" s="227"/>
      <c r="I70" s="227"/>
      <c r="J70" s="227"/>
      <c r="K70" s="227"/>
      <c r="L70" s="227"/>
      <c r="M70" s="227"/>
      <c r="N70" s="332"/>
    </row>
    <row r="71" spans="1:26" ht="12.95" customHeight="1">
      <c r="A71" s="156" t="str">
        <f>IF(UMYr3!A71&lt;&gt;"",UMYr3!A71,"")</f>
        <v/>
      </c>
      <c r="C71" s="191" t="s">
        <v>564</v>
      </c>
      <c r="D71" s="30">
        <f>Sponsor!G74</f>
        <v>0</v>
      </c>
      <c r="E71" s="31">
        <f>E13+E15+E16+E19+E20+E21+E22</f>
        <v>0</v>
      </c>
      <c r="F71" s="31">
        <f>F13+F15+F16+F19+F20+F21+F22</f>
        <v>0</v>
      </c>
      <c r="G71" s="31">
        <f>G13+G15+G16+G19+G20+G21+G22</f>
        <v>0</v>
      </c>
      <c r="H71" s="31">
        <f>H13+H15+H16+H19+H20+H21+H22</f>
        <v>0</v>
      </c>
      <c r="I71" s="31">
        <f>I13+I15+I16+I19+I20+I21+I22</f>
        <v>0</v>
      </c>
      <c r="J71" s="289">
        <f>SUM(E71:I71)</f>
        <v>0</v>
      </c>
      <c r="K71" s="30">
        <f>D71+J71</f>
        <v>0</v>
      </c>
      <c r="L71" s="31">
        <f>L13+L15+L16+L19+L20+L21+L22</f>
        <v>0</v>
      </c>
      <c r="M71" s="31">
        <f>M13+M15+M16+M19+M20+M21+M22</f>
        <v>0</v>
      </c>
      <c r="N71" s="30">
        <f>SUM(K71:M71)</f>
        <v>0</v>
      </c>
      <c r="Q71" s="223"/>
      <c r="T71" s="452" t="s">
        <v>665</v>
      </c>
      <c r="U71" s="452" t="s">
        <v>666</v>
      </c>
      <c r="V71" s="223" t="s">
        <v>667</v>
      </c>
      <c r="W71" s="223" t="s">
        <v>668</v>
      </c>
      <c r="X71" s="452" t="s">
        <v>13</v>
      </c>
      <c r="Y71" s="453" t="s">
        <v>647</v>
      </c>
      <c r="Z71" s="453" t="s">
        <v>13</v>
      </c>
    </row>
    <row r="72" spans="1:26" ht="12.95" customHeight="1">
      <c r="A72" s="156" t="str">
        <f>IF(UMYr3!A72&lt;&gt;"",UMYr3!A72,"")</f>
        <v/>
      </c>
      <c r="C72" s="233" t="s">
        <v>565</v>
      </c>
      <c r="D72" s="32">
        <f>Sponsor!G75</f>
        <v>0</v>
      </c>
      <c r="E72" s="31">
        <f>E20+E21+SUM(T72:T91)</f>
        <v>0</v>
      </c>
      <c r="F72" s="31">
        <f>F20+F21+SUM(U72:U91)</f>
        <v>0</v>
      </c>
      <c r="G72" s="31">
        <f>G20+G21+SUM(V72:V91)</f>
        <v>0</v>
      </c>
      <c r="H72" s="31">
        <f>H20+H21+SUM(W72:W91)</f>
        <v>0</v>
      </c>
      <c r="I72" s="31">
        <f>I20+I21+SUM(X72:X91)</f>
        <v>0</v>
      </c>
      <c r="J72" s="11">
        <f>SUM(E72:I72)</f>
        <v>0</v>
      </c>
      <c r="K72" s="32">
        <f>D72+J72</f>
        <v>0</v>
      </c>
      <c r="L72" s="31">
        <f>L20+L21+SUM(Y72:Y91)</f>
        <v>0</v>
      </c>
      <c r="M72" s="31">
        <f>M20+M21+SUM(Z72:Z91)</f>
        <v>0</v>
      </c>
      <c r="N72" s="32">
        <f>SUM(K72:M72)</f>
        <v>0</v>
      </c>
      <c r="T72" s="198">
        <f t="shared" ref="T72:X75" si="15">IF(LEN($A8)=5,E8,0)</f>
        <v>0</v>
      </c>
      <c r="U72" s="198">
        <f t="shared" si="15"/>
        <v>0</v>
      </c>
      <c r="V72" s="198">
        <f t="shared" si="15"/>
        <v>0</v>
      </c>
      <c r="W72" s="198">
        <f t="shared" si="15"/>
        <v>0</v>
      </c>
      <c r="X72" s="198">
        <f t="shared" si="15"/>
        <v>0</v>
      </c>
      <c r="Y72" s="198">
        <f t="shared" ref="Y72:Z75" si="16">IF(LEN($A8)=5,L8,0)</f>
        <v>0</v>
      </c>
      <c r="Z72" s="198">
        <f t="shared" si="16"/>
        <v>0</v>
      </c>
    </row>
    <row r="73" spans="1:26" ht="12.95" customHeight="1">
      <c r="A73" s="156" t="str">
        <f>IF(UMYr3!A73&lt;&gt;"",UMYr3!A73,"")</f>
        <v/>
      </c>
      <c r="B73" s="761" t="s">
        <v>566</v>
      </c>
      <c r="C73" s="1038"/>
      <c r="D73" s="32">
        <f>Sponsor!G76</f>
        <v>0</v>
      </c>
      <c r="E73" s="31">
        <f>ROUND((E71-E72)*E66,0)</f>
        <v>0</v>
      </c>
      <c r="F73" s="31">
        <f>ROUND((F71-F72)*F66,0)</f>
        <v>0</v>
      </c>
      <c r="G73" s="31">
        <f>ROUND((G71-G72)*G66,0)</f>
        <v>0</v>
      </c>
      <c r="H73" s="31">
        <f>ROUND((H71-H72)*H66,0)</f>
        <v>0</v>
      </c>
      <c r="I73" s="31">
        <f>ROUND((I71-I72)*I66,0)</f>
        <v>0</v>
      </c>
      <c r="J73" s="11">
        <f>SUM(E73:I73)</f>
        <v>0</v>
      </c>
      <c r="K73" s="32">
        <f>D73+J73</f>
        <v>0</v>
      </c>
      <c r="L73" s="31">
        <f>ROUND((L71-L72)*L66,0)</f>
        <v>0</v>
      </c>
      <c r="M73" s="31">
        <f>ROUND((M71-M72)*M66,0)</f>
        <v>0</v>
      </c>
      <c r="N73" s="32">
        <f>SUM(K73:M73)</f>
        <v>0</v>
      </c>
      <c r="Q73" s="229"/>
      <c r="T73" s="198">
        <f t="shared" si="15"/>
        <v>0</v>
      </c>
      <c r="U73" s="198">
        <f t="shared" si="15"/>
        <v>0</v>
      </c>
      <c r="V73" s="198">
        <f t="shared" si="15"/>
        <v>0</v>
      </c>
      <c r="W73" s="198">
        <f t="shared" si="15"/>
        <v>0</v>
      </c>
      <c r="X73" s="198">
        <f t="shared" si="15"/>
        <v>0</v>
      </c>
      <c r="Y73" s="198">
        <f t="shared" si="16"/>
        <v>0</v>
      </c>
      <c r="Z73" s="198">
        <f t="shared" si="16"/>
        <v>0</v>
      </c>
    </row>
    <row r="74" spans="1:26" ht="12.95" customHeight="1">
      <c r="A74" s="156" t="str">
        <f>IF(UMYr3!A74&lt;&gt;"",UMYr3!A74,"")</f>
        <v/>
      </c>
      <c r="B74" s="991" t="s">
        <v>567</v>
      </c>
      <c r="C74" s="1063"/>
      <c r="D74" s="26">
        <f>Sponsor!G77</f>
        <v>0</v>
      </c>
      <c r="E74" s="34">
        <f>ROUND(E72*E67,0)</f>
        <v>0</v>
      </c>
      <c r="F74" s="34">
        <f>ROUND(F72*F67,0)</f>
        <v>0</v>
      </c>
      <c r="G74" s="34">
        <f>ROUND(G72*G67,0)</f>
        <v>0</v>
      </c>
      <c r="H74" s="34">
        <f>ROUND(H72*H67,0)</f>
        <v>0</v>
      </c>
      <c r="I74" s="34">
        <f>ROUND(I72*I67,0)</f>
        <v>0</v>
      </c>
      <c r="J74" s="290">
        <f>SUM(E74:I74)</f>
        <v>0</v>
      </c>
      <c r="K74" s="26">
        <f>D74+J74</f>
        <v>0</v>
      </c>
      <c r="L74" s="34">
        <f>ROUND(L72*L67,0)</f>
        <v>0</v>
      </c>
      <c r="M74" s="34">
        <f>ROUND(M72*M67,0)</f>
        <v>0</v>
      </c>
      <c r="N74" s="26">
        <f>SUM(K74:M74)</f>
        <v>0</v>
      </c>
      <c r="Q74" s="229"/>
      <c r="T74" s="198">
        <f t="shared" si="15"/>
        <v>0</v>
      </c>
      <c r="U74" s="198">
        <f t="shared" si="15"/>
        <v>0</v>
      </c>
      <c r="V74" s="198">
        <f t="shared" si="15"/>
        <v>0</v>
      </c>
      <c r="W74" s="198">
        <f t="shared" si="15"/>
        <v>0</v>
      </c>
      <c r="X74" s="198">
        <f t="shared" si="15"/>
        <v>0</v>
      </c>
      <c r="Y74" s="198">
        <f t="shared" si="16"/>
        <v>0</v>
      </c>
      <c r="Z74" s="198">
        <f t="shared" si="16"/>
        <v>0</v>
      </c>
    </row>
    <row r="75" spans="1:26" ht="12.95" customHeight="1" thickBot="1">
      <c r="A75" s="156" t="str">
        <f>IF(UMYr3!A75&lt;&gt;"",UMYr3!A75,"")</f>
        <v/>
      </c>
      <c r="B75" s="767" t="s">
        <v>568</v>
      </c>
      <c r="C75" s="1040"/>
      <c r="D75" s="182">
        <f>Sponsor!G78</f>
        <v>0</v>
      </c>
      <c r="E75" s="183">
        <f>E73+E74</f>
        <v>0</v>
      </c>
      <c r="F75" s="183">
        <f>F73+F74</f>
        <v>0</v>
      </c>
      <c r="G75" s="183">
        <f>G73+G74</f>
        <v>0</v>
      </c>
      <c r="H75" s="183">
        <f>H73+H74</f>
        <v>0</v>
      </c>
      <c r="I75" s="183">
        <f>I73+I74</f>
        <v>0</v>
      </c>
      <c r="J75" s="291">
        <f>SUM(E75:I75)</f>
        <v>0</v>
      </c>
      <c r="K75" s="182">
        <f>D75+J75</f>
        <v>0</v>
      </c>
      <c r="L75" s="183">
        <f>L73+L74</f>
        <v>0</v>
      </c>
      <c r="M75" s="183">
        <f>M73+M74</f>
        <v>0</v>
      </c>
      <c r="N75" s="182">
        <f>SUM(K75:M75)</f>
        <v>0</v>
      </c>
      <c r="Q75" s="229"/>
      <c r="T75" s="198">
        <f t="shared" si="15"/>
        <v>0</v>
      </c>
      <c r="U75" s="198">
        <f t="shared" si="15"/>
        <v>0</v>
      </c>
      <c r="V75" s="198">
        <f t="shared" si="15"/>
        <v>0</v>
      </c>
      <c r="W75" s="198">
        <f t="shared" si="15"/>
        <v>0</v>
      </c>
      <c r="X75" s="198">
        <f t="shared" si="15"/>
        <v>0</v>
      </c>
      <c r="Y75" s="198">
        <f t="shared" si="16"/>
        <v>0</v>
      </c>
      <c r="Z75" s="198">
        <f t="shared" si="16"/>
        <v>0</v>
      </c>
    </row>
    <row r="76" spans="1:26" ht="12.95" customHeight="1">
      <c r="A76" s="156" t="str">
        <f>IF(UMYr3!A76&lt;&gt;"",UMYr3!A76,"")</f>
        <v/>
      </c>
      <c r="B76" s="84" t="s">
        <v>685</v>
      </c>
      <c r="C76" s="230"/>
      <c r="D76" s="230"/>
      <c r="E76" s="230"/>
      <c r="F76" s="230"/>
      <c r="G76" s="230"/>
      <c r="H76" s="230"/>
      <c r="I76" s="230"/>
      <c r="J76" s="230"/>
      <c r="K76" s="230"/>
      <c r="L76" s="230"/>
      <c r="M76" s="230"/>
      <c r="N76" s="333"/>
      <c r="O76" s="134"/>
      <c r="P76" s="134"/>
      <c r="T76" s="198">
        <f t="shared" ref="T76:T91" si="17">IF(LEN($A86)=5,E86,0)</f>
        <v>0</v>
      </c>
      <c r="U76" s="198">
        <f t="shared" ref="U76:U91" si="18">IF(LEN($A86)=5,F86,0)</f>
        <v>0</v>
      </c>
      <c r="V76" s="198">
        <f t="shared" ref="V76:V91" si="19">IF(LEN($A86)=5,G86,0)</f>
        <v>0</v>
      </c>
      <c r="W76" s="198">
        <f t="shared" ref="W76:W91" si="20">IF(LEN($A86)=5,H86,0)</f>
        <v>0</v>
      </c>
      <c r="X76" s="198">
        <f t="shared" ref="X76:X91" si="21">IF(LEN($A86)=5,I86,0)</f>
        <v>0</v>
      </c>
      <c r="Y76" s="198">
        <f t="shared" ref="Y76:Y91" si="22">IF(LEN($A86)=5,L86,0)</f>
        <v>0</v>
      </c>
      <c r="Z76" s="198">
        <f t="shared" ref="Z76:Z91" si="23">IF(LEN($A86)=5,M86,0)</f>
        <v>0</v>
      </c>
    </row>
    <row r="77" spans="1:26" ht="12.95" customHeight="1">
      <c r="A77" s="156" t="str">
        <f>IF(UMYr3!A77&lt;&gt;"",UMYr3!A77,"")</f>
        <v/>
      </c>
      <c r="B77" s="831" t="s">
        <v>681</v>
      </c>
      <c r="C77" s="772"/>
      <c r="D77" s="665">
        <f>Sponsor!G80</f>
        <v>0</v>
      </c>
      <c r="E77" s="318"/>
      <c r="F77" s="28"/>
      <c r="G77" s="28"/>
      <c r="H77" s="28"/>
      <c r="I77" s="28"/>
      <c r="J77" s="28"/>
      <c r="K77" s="28"/>
      <c r="L77" s="28"/>
      <c r="M77" s="28"/>
      <c r="N77" s="190"/>
      <c r="T77" s="198">
        <f t="shared" si="17"/>
        <v>0</v>
      </c>
      <c r="U77" s="198">
        <f t="shared" si="18"/>
        <v>0</v>
      </c>
      <c r="V77" s="198">
        <f t="shared" si="19"/>
        <v>0</v>
      </c>
      <c r="W77" s="198">
        <f t="shared" si="20"/>
        <v>0</v>
      </c>
      <c r="X77" s="198">
        <f t="shared" si="21"/>
        <v>0</v>
      </c>
      <c r="Y77" s="198">
        <f t="shared" si="22"/>
        <v>0</v>
      </c>
      <c r="Z77" s="198">
        <f t="shared" si="23"/>
        <v>0</v>
      </c>
    </row>
    <row r="78" spans="1:26" ht="12.95" customHeight="1">
      <c r="A78" s="156" t="str">
        <f>IF(UMYr3!A78&lt;&gt;"",UMYr3!A78,"")</f>
        <v/>
      </c>
      <c r="B78" s="761" t="s">
        <v>542</v>
      </c>
      <c r="C78" s="1038"/>
      <c r="D78" s="112">
        <f>Sponsor!G81</f>
        <v>0</v>
      </c>
      <c r="E78" s="111">
        <f t="shared" ref="E78:L78" si="24">E53</f>
        <v>0</v>
      </c>
      <c r="F78" s="112">
        <f t="shared" si="24"/>
        <v>0</v>
      </c>
      <c r="G78" s="112">
        <f t="shared" si="24"/>
        <v>0</v>
      </c>
      <c r="H78" s="112">
        <f t="shared" si="24"/>
        <v>0</v>
      </c>
      <c r="I78" s="112">
        <f t="shared" si="24"/>
        <v>0</v>
      </c>
      <c r="J78" s="11">
        <f t="shared" si="24"/>
        <v>0</v>
      </c>
      <c r="K78" s="11">
        <f t="shared" si="24"/>
        <v>0</v>
      </c>
      <c r="L78" s="31">
        <f t="shared" si="24"/>
        <v>0</v>
      </c>
      <c r="M78" s="977" t="s">
        <v>658</v>
      </c>
      <c r="N78" s="32">
        <f t="shared" ref="N78:N84" si="25">SUM(K78:M78)</f>
        <v>0</v>
      </c>
      <c r="T78" s="198">
        <f t="shared" si="17"/>
        <v>0</v>
      </c>
      <c r="U78" s="198">
        <f t="shared" si="18"/>
        <v>0</v>
      </c>
      <c r="V78" s="198">
        <f t="shared" si="19"/>
        <v>0</v>
      </c>
      <c r="W78" s="198">
        <f t="shared" si="20"/>
        <v>0</v>
      </c>
      <c r="X78" s="198">
        <f t="shared" si="21"/>
        <v>0</v>
      </c>
      <c r="Y78" s="198">
        <f t="shared" si="22"/>
        <v>0</v>
      </c>
      <c r="Z78" s="198">
        <f t="shared" si="23"/>
        <v>0</v>
      </c>
    </row>
    <row r="79" spans="1:26" ht="12.95" customHeight="1">
      <c r="A79" s="156" t="str">
        <f>IF(UMYr3!A79&lt;&gt;"",UMYr3!A79,"")</f>
        <v/>
      </c>
      <c r="B79" s="761" t="s">
        <v>570</v>
      </c>
      <c r="C79" s="1038"/>
      <c r="D79" s="112">
        <f>Sponsor!G82</f>
        <v>0</v>
      </c>
      <c r="E79" s="111">
        <f t="shared" ref="E79:L79" si="26">-E31</f>
        <v>0</v>
      </c>
      <c r="F79" s="112">
        <f t="shared" si="26"/>
        <v>0</v>
      </c>
      <c r="G79" s="112">
        <f t="shared" si="26"/>
        <v>0</v>
      </c>
      <c r="H79" s="112">
        <f t="shared" si="26"/>
        <v>0</v>
      </c>
      <c r="I79" s="112">
        <f t="shared" si="26"/>
        <v>0</v>
      </c>
      <c r="J79" s="11">
        <f t="shared" si="26"/>
        <v>0</v>
      </c>
      <c r="K79" s="11">
        <f t="shared" si="26"/>
        <v>0</v>
      </c>
      <c r="L79" s="31">
        <f t="shared" si="26"/>
        <v>0</v>
      </c>
      <c r="M79" s="986"/>
      <c r="N79" s="32">
        <f t="shared" si="25"/>
        <v>0</v>
      </c>
      <c r="T79" s="198">
        <f t="shared" si="17"/>
        <v>0</v>
      </c>
      <c r="U79" s="198">
        <f t="shared" si="18"/>
        <v>0</v>
      </c>
      <c r="V79" s="198">
        <f t="shared" si="19"/>
        <v>0</v>
      </c>
      <c r="W79" s="198">
        <f t="shared" si="20"/>
        <v>0</v>
      </c>
      <c r="X79" s="198">
        <f t="shared" si="21"/>
        <v>0</v>
      </c>
      <c r="Y79" s="198">
        <f t="shared" si="22"/>
        <v>0</v>
      </c>
      <c r="Z79" s="198">
        <f t="shared" si="23"/>
        <v>0</v>
      </c>
    </row>
    <row r="80" spans="1:26" ht="12.95" customHeight="1">
      <c r="A80" s="156" t="str">
        <f>IF(UMYr3!A80&lt;&gt;"",UMYr3!A80,"")</f>
        <v/>
      </c>
      <c r="B80" s="761" t="s">
        <v>571</v>
      </c>
      <c r="C80" s="1038"/>
      <c r="D80" s="112">
        <f>Sponsor!G83</f>
        <v>0</v>
      </c>
      <c r="E80" s="111">
        <f>-E42</f>
        <v>0</v>
      </c>
      <c r="F80" s="112">
        <f>-F42</f>
        <v>0</v>
      </c>
      <c r="G80" s="112">
        <f>-G42</f>
        <v>0</v>
      </c>
      <c r="H80" s="112">
        <f>-H42</f>
        <v>0</v>
      </c>
      <c r="I80" s="112">
        <f>-I42</f>
        <v>0</v>
      </c>
      <c r="J80" s="11">
        <f>SUM(E80:I80)</f>
        <v>0</v>
      </c>
      <c r="K80" s="11">
        <f>-K42</f>
        <v>0</v>
      </c>
      <c r="L80" s="31">
        <f>-L42</f>
        <v>0</v>
      </c>
      <c r="M80" s="986"/>
      <c r="N80" s="32">
        <f t="shared" si="25"/>
        <v>0</v>
      </c>
      <c r="T80" s="198">
        <f t="shared" si="17"/>
        <v>0</v>
      </c>
      <c r="U80" s="198">
        <f t="shared" si="18"/>
        <v>0</v>
      </c>
      <c r="V80" s="198">
        <f t="shared" si="19"/>
        <v>0</v>
      </c>
      <c r="W80" s="198">
        <f t="shared" si="20"/>
        <v>0</v>
      </c>
      <c r="X80" s="198">
        <f t="shared" si="21"/>
        <v>0</v>
      </c>
      <c r="Y80" s="198">
        <f t="shared" si="22"/>
        <v>0</v>
      </c>
      <c r="Z80" s="198">
        <f t="shared" si="23"/>
        <v>0</v>
      </c>
    </row>
    <row r="81" spans="1:26" ht="12.95" customHeight="1">
      <c r="A81" s="156" t="str">
        <f>IF(UMYr3!A81&lt;&gt;"",UMYr3!A81,"")</f>
        <v/>
      </c>
      <c r="B81" s="761" t="s">
        <v>572</v>
      </c>
      <c r="C81" s="1038"/>
      <c r="D81" s="112">
        <f>Sponsor!G84</f>
        <v>0</v>
      </c>
      <c r="E81" s="111">
        <f t="shared" ref="E81:L81" si="27">-E49</f>
        <v>0</v>
      </c>
      <c r="F81" s="112">
        <f t="shared" si="27"/>
        <v>0</v>
      </c>
      <c r="G81" s="112">
        <f t="shared" si="27"/>
        <v>0</v>
      </c>
      <c r="H81" s="112">
        <f t="shared" si="27"/>
        <v>0</v>
      </c>
      <c r="I81" s="112">
        <f t="shared" si="27"/>
        <v>0</v>
      </c>
      <c r="J81" s="11">
        <f t="shared" si="27"/>
        <v>0</v>
      </c>
      <c r="K81" s="11">
        <f t="shared" si="27"/>
        <v>0</v>
      </c>
      <c r="L81" s="31">
        <f t="shared" si="27"/>
        <v>0</v>
      </c>
      <c r="M81" s="986"/>
      <c r="N81" s="32">
        <f t="shared" si="25"/>
        <v>0</v>
      </c>
      <c r="T81" s="198">
        <f t="shared" si="17"/>
        <v>0</v>
      </c>
      <c r="U81" s="198">
        <f t="shared" si="18"/>
        <v>0</v>
      </c>
      <c r="V81" s="198">
        <f t="shared" si="19"/>
        <v>0</v>
      </c>
      <c r="W81" s="198">
        <f t="shared" si="20"/>
        <v>0</v>
      </c>
      <c r="X81" s="198">
        <f t="shared" si="21"/>
        <v>0</v>
      </c>
      <c r="Y81" s="198">
        <f t="shared" si="22"/>
        <v>0</v>
      </c>
      <c r="Z81" s="198">
        <f t="shared" si="23"/>
        <v>0</v>
      </c>
    </row>
    <row r="82" spans="1:26" ht="12.95" customHeight="1">
      <c r="A82" s="156" t="str">
        <f>IF(UMYr3!A82&lt;&gt;"",UMYr3!A82,"")</f>
        <v/>
      </c>
      <c r="C82" s="233" t="s">
        <v>573</v>
      </c>
      <c r="D82" s="114">
        <f>Sponsor!G85</f>
        <v>0</v>
      </c>
      <c r="E82" s="165" t="s">
        <v>679</v>
      </c>
      <c r="F82" s="129" t="s">
        <v>679</v>
      </c>
      <c r="G82" s="129" t="s">
        <v>679</v>
      </c>
      <c r="H82" s="129" t="s">
        <v>679</v>
      </c>
      <c r="I82" s="129" t="s">
        <v>679</v>
      </c>
      <c r="J82" s="43">
        <f>-UMYr1!W142</f>
        <v>0</v>
      </c>
      <c r="K82" s="11">
        <f>D82+J82</f>
        <v>0</v>
      </c>
      <c r="L82" s="123" t="s">
        <v>658</v>
      </c>
      <c r="M82" s="986"/>
      <c r="N82" s="25">
        <f>K82</f>
        <v>0</v>
      </c>
      <c r="T82" s="198">
        <f t="shared" si="17"/>
        <v>0</v>
      </c>
      <c r="U82" s="198">
        <f t="shared" si="18"/>
        <v>0</v>
      </c>
      <c r="V82" s="198">
        <f t="shared" si="19"/>
        <v>0</v>
      </c>
      <c r="W82" s="198">
        <f t="shared" si="20"/>
        <v>0</v>
      </c>
      <c r="X82" s="198">
        <f t="shared" si="21"/>
        <v>0</v>
      </c>
      <c r="Y82" s="198">
        <f t="shared" si="22"/>
        <v>0</v>
      </c>
      <c r="Z82" s="198">
        <f t="shared" si="23"/>
        <v>0</v>
      </c>
    </row>
    <row r="83" spans="1:26" ht="12.95" customHeight="1">
      <c r="A83" s="156" t="str">
        <f>IF(UMYr3!A83&lt;&gt;"",UMYr3!A83,"")</f>
        <v/>
      </c>
      <c r="B83" s="764" t="s">
        <v>670</v>
      </c>
      <c r="C83" s="1038"/>
      <c r="D83" s="114">
        <f>Sponsor!G86</f>
        <v>0</v>
      </c>
      <c r="E83" s="132"/>
      <c r="F83" s="67"/>
      <c r="G83" s="67"/>
      <c r="H83" s="67"/>
      <c r="I83" s="67"/>
      <c r="J83" s="334">
        <f>SUM(E83:I83)</f>
        <v>0</v>
      </c>
      <c r="K83" s="11">
        <f>D83+J83</f>
        <v>0</v>
      </c>
      <c r="L83" s="146"/>
      <c r="M83" s="987"/>
      <c r="N83" s="25">
        <f t="shared" si="25"/>
        <v>0</v>
      </c>
      <c r="T83" s="198">
        <f t="shared" si="17"/>
        <v>0</v>
      </c>
      <c r="U83" s="198">
        <f t="shared" si="18"/>
        <v>0</v>
      </c>
      <c r="V83" s="198">
        <f t="shared" si="19"/>
        <v>0</v>
      </c>
      <c r="W83" s="198">
        <f t="shared" si="20"/>
        <v>0</v>
      </c>
      <c r="X83" s="198">
        <f t="shared" si="21"/>
        <v>0</v>
      </c>
      <c r="Y83" s="198">
        <f t="shared" si="22"/>
        <v>0</v>
      </c>
      <c r="Z83" s="198">
        <f t="shared" si="23"/>
        <v>0</v>
      </c>
    </row>
    <row r="84" spans="1:26" s="235" customFormat="1" ht="12.95" customHeight="1" thickBot="1">
      <c r="A84" s="234" t="str">
        <f>IF(UMYr3!A84&lt;&gt;"",UMYr3!A84,"")</f>
        <v/>
      </c>
      <c r="B84" s="767" t="s">
        <v>575</v>
      </c>
      <c r="C84" s="1040"/>
      <c r="D84" s="131">
        <f>Sponsor!G87</f>
        <v>0</v>
      </c>
      <c r="E84" s="99">
        <f t="shared" ref="E84:M84" si="28">IF($D$77="TDC",E53,SUM(E78:E83))</f>
        <v>0</v>
      </c>
      <c r="F84" s="128">
        <f t="shared" si="28"/>
        <v>0</v>
      </c>
      <c r="G84" s="128">
        <f t="shared" si="28"/>
        <v>0</v>
      </c>
      <c r="H84" s="128">
        <f t="shared" si="28"/>
        <v>0</v>
      </c>
      <c r="I84" s="128">
        <f t="shared" si="28"/>
        <v>0</v>
      </c>
      <c r="J84" s="293">
        <f t="shared" si="28"/>
        <v>0</v>
      </c>
      <c r="K84" s="293">
        <f t="shared" si="28"/>
        <v>0</v>
      </c>
      <c r="L84" s="72">
        <f t="shared" si="28"/>
        <v>0</v>
      </c>
      <c r="M84" s="72">
        <f t="shared" si="28"/>
        <v>0</v>
      </c>
      <c r="N84" s="71">
        <f t="shared" si="25"/>
        <v>0</v>
      </c>
      <c r="O84"/>
      <c r="P84"/>
      <c r="T84" s="450">
        <f t="shared" si="17"/>
        <v>0</v>
      </c>
      <c r="U84" s="450">
        <f t="shared" si="18"/>
        <v>0</v>
      </c>
      <c r="V84" s="450">
        <f t="shared" si="19"/>
        <v>0</v>
      </c>
      <c r="W84" s="450">
        <f t="shared" si="20"/>
        <v>0</v>
      </c>
      <c r="X84" s="450">
        <f t="shared" si="21"/>
        <v>0</v>
      </c>
      <c r="Y84" s="450">
        <f t="shared" si="22"/>
        <v>0</v>
      </c>
      <c r="Z84" s="450">
        <f t="shared" si="23"/>
        <v>0</v>
      </c>
    </row>
    <row r="85" spans="1:26" ht="12.95" customHeight="1">
      <c r="A85" s="155" t="str">
        <f>IF(UMYr3!A85&lt;&gt;"",UMYr3!A85,"")</f>
        <v/>
      </c>
      <c r="B85" s="84" t="str">
        <f>IF(UMYr1!B85="","",UMYr1!B85)</f>
        <v>ADDITIONAL SENIOR PERSONNEL - names and account codes must be entered in Sponsor tab</v>
      </c>
      <c r="C85" s="230"/>
      <c r="D85" s="230"/>
      <c r="E85" s="230"/>
      <c r="F85" s="230"/>
      <c r="G85" s="230"/>
      <c r="H85" s="230"/>
      <c r="I85" s="230"/>
      <c r="J85" s="230"/>
      <c r="K85" s="230"/>
      <c r="L85" s="294"/>
      <c r="M85" s="230"/>
      <c r="N85" s="333"/>
      <c r="O85" s="225"/>
      <c r="P85" s="225"/>
      <c r="T85" s="198">
        <f t="shared" si="17"/>
        <v>0</v>
      </c>
      <c r="U85" s="198">
        <f t="shared" si="18"/>
        <v>0</v>
      </c>
      <c r="V85" s="198">
        <f t="shared" si="19"/>
        <v>0</v>
      </c>
      <c r="W85" s="198">
        <f t="shared" si="20"/>
        <v>0</v>
      </c>
      <c r="X85" s="198">
        <f t="shared" si="21"/>
        <v>0</v>
      </c>
      <c r="Y85" s="198">
        <f t="shared" si="22"/>
        <v>0</v>
      </c>
      <c r="Z85" s="198">
        <f t="shared" si="23"/>
        <v>0</v>
      </c>
    </row>
    <row r="86" spans="1:26" ht="12.95" customHeight="1">
      <c r="A86" s="679" t="str">
        <f>IF(UMYr3!A86&lt;&gt;"",UMYr3!A86,"")</f>
        <v/>
      </c>
      <c r="B86" s="85" t="str">
        <f>UMYr1!B86</f>
        <v/>
      </c>
      <c r="C86" s="680" t="str">
        <f>IF(UMYr1!C86="","",UMYr1!C86)</f>
        <v/>
      </c>
      <c r="D86" s="105">
        <f>Sponsor!G89</f>
        <v>0</v>
      </c>
      <c r="E86" s="7"/>
      <c r="F86" s="7"/>
      <c r="G86" s="7"/>
      <c r="H86" s="7"/>
      <c r="I86" s="7"/>
      <c r="J86" s="29">
        <f t="shared" ref="J86:J101" si="29">SUM(E86:I86)</f>
        <v>0</v>
      </c>
      <c r="K86" s="30">
        <f t="shared" ref="K86:K101" si="30">D86+J86</f>
        <v>0</v>
      </c>
      <c r="L86" s="7"/>
      <c r="M86" s="7"/>
      <c r="N86" s="30">
        <f t="shared" ref="N86:N101" si="31">SUM(K86:M86)</f>
        <v>0</v>
      </c>
      <c r="O86" s="237"/>
      <c r="P86" s="237"/>
      <c r="T86" s="198">
        <f t="shared" si="17"/>
        <v>0</v>
      </c>
      <c r="U86" s="198">
        <f t="shared" si="18"/>
        <v>0</v>
      </c>
      <c r="V86" s="198">
        <f t="shared" si="19"/>
        <v>0</v>
      </c>
      <c r="W86" s="198">
        <f t="shared" si="20"/>
        <v>0</v>
      </c>
      <c r="X86" s="198">
        <f t="shared" si="21"/>
        <v>0</v>
      </c>
      <c r="Y86" s="198">
        <f t="shared" si="22"/>
        <v>0</v>
      </c>
      <c r="Z86" s="198">
        <f t="shared" si="23"/>
        <v>0</v>
      </c>
    </row>
    <row r="87" spans="1:26" ht="12.95" customHeight="1">
      <c r="A87" s="679" t="str">
        <f>IF(UMYr3!A87&lt;&gt;"",UMYr3!A87,"")</f>
        <v/>
      </c>
      <c r="B87" s="85" t="str">
        <f>UMYr1!B87</f>
        <v/>
      </c>
      <c r="C87" s="680" t="str">
        <f>IF(UMYr1!C87="","",UMYr1!C87)</f>
        <v/>
      </c>
      <c r="D87" s="106">
        <f>Sponsor!G90</f>
        <v>0</v>
      </c>
      <c r="E87" s="8"/>
      <c r="F87" s="8"/>
      <c r="G87" s="8"/>
      <c r="H87" s="8"/>
      <c r="I87" s="8"/>
      <c r="J87" s="31">
        <f t="shared" si="29"/>
        <v>0</v>
      </c>
      <c r="K87" s="32">
        <f t="shared" si="30"/>
        <v>0</v>
      </c>
      <c r="L87" s="8"/>
      <c r="M87" s="8"/>
      <c r="N87" s="32">
        <f t="shared" si="31"/>
        <v>0</v>
      </c>
      <c r="O87" s="237"/>
      <c r="P87" s="237"/>
      <c r="T87" s="198">
        <f t="shared" si="17"/>
        <v>0</v>
      </c>
      <c r="U87" s="198">
        <f t="shared" si="18"/>
        <v>0</v>
      </c>
      <c r="V87" s="198">
        <f t="shared" si="19"/>
        <v>0</v>
      </c>
      <c r="W87" s="198">
        <f t="shared" si="20"/>
        <v>0</v>
      </c>
      <c r="X87" s="198">
        <f t="shared" si="21"/>
        <v>0</v>
      </c>
      <c r="Y87" s="198">
        <f t="shared" si="22"/>
        <v>0</v>
      </c>
      <c r="Z87" s="198">
        <f t="shared" si="23"/>
        <v>0</v>
      </c>
    </row>
    <row r="88" spans="1:26" ht="12.95" customHeight="1">
      <c r="A88" s="679" t="str">
        <f>IF(UMYr3!A88&lt;&gt;"",UMYr3!A88,"")</f>
        <v/>
      </c>
      <c r="B88" s="85" t="str">
        <f>UMYr1!B88</f>
        <v/>
      </c>
      <c r="C88" s="680" t="str">
        <f>IF(UMYr1!C88="","",UMYr1!C88)</f>
        <v/>
      </c>
      <c r="D88" s="106">
        <f>Sponsor!G91</f>
        <v>0</v>
      </c>
      <c r="E88" s="8"/>
      <c r="F88" s="8"/>
      <c r="G88" s="8"/>
      <c r="H88" s="8"/>
      <c r="I88" s="8"/>
      <c r="J88" s="31">
        <f t="shared" si="29"/>
        <v>0</v>
      </c>
      <c r="K88" s="32">
        <f t="shared" si="30"/>
        <v>0</v>
      </c>
      <c r="L88" s="8"/>
      <c r="M88" s="8"/>
      <c r="N88" s="32">
        <f t="shared" si="31"/>
        <v>0</v>
      </c>
      <c r="O88" s="237"/>
      <c r="P88" s="237"/>
      <c r="T88" s="198">
        <f t="shared" si="17"/>
        <v>0</v>
      </c>
      <c r="U88" s="198">
        <f t="shared" si="18"/>
        <v>0</v>
      </c>
      <c r="V88" s="198">
        <f t="shared" si="19"/>
        <v>0</v>
      </c>
      <c r="W88" s="198">
        <f t="shared" si="20"/>
        <v>0</v>
      </c>
      <c r="X88" s="198">
        <f t="shared" si="21"/>
        <v>0</v>
      </c>
      <c r="Y88" s="198">
        <f t="shared" si="22"/>
        <v>0</v>
      </c>
      <c r="Z88" s="198">
        <f t="shared" si="23"/>
        <v>0</v>
      </c>
    </row>
    <row r="89" spans="1:26" ht="12.95" customHeight="1">
      <c r="A89" s="679" t="str">
        <f>IF(UMYr3!A89&lt;&gt;"",UMYr3!A89,"")</f>
        <v/>
      </c>
      <c r="B89" s="85" t="str">
        <f>UMYr1!B89</f>
        <v/>
      </c>
      <c r="C89" s="680" t="str">
        <f>IF(UMYr1!C89="","",UMYr1!C89)</f>
        <v/>
      </c>
      <c r="D89" s="106">
        <f>Sponsor!G92</f>
        <v>0</v>
      </c>
      <c r="E89" s="8"/>
      <c r="F89" s="8"/>
      <c r="G89" s="8"/>
      <c r="H89" s="8"/>
      <c r="I89" s="8"/>
      <c r="J89" s="31">
        <f t="shared" si="29"/>
        <v>0</v>
      </c>
      <c r="K89" s="32">
        <f t="shared" si="30"/>
        <v>0</v>
      </c>
      <c r="L89" s="8"/>
      <c r="M89" s="8"/>
      <c r="N89" s="32">
        <f t="shared" si="31"/>
        <v>0</v>
      </c>
      <c r="O89" s="237"/>
      <c r="P89" s="237"/>
      <c r="T89" s="198">
        <f t="shared" si="17"/>
        <v>0</v>
      </c>
      <c r="U89" s="198">
        <f t="shared" si="18"/>
        <v>0</v>
      </c>
      <c r="V89" s="198">
        <f t="shared" si="19"/>
        <v>0</v>
      </c>
      <c r="W89" s="198">
        <f t="shared" si="20"/>
        <v>0</v>
      </c>
      <c r="X89" s="198">
        <f t="shared" si="21"/>
        <v>0</v>
      </c>
      <c r="Y89" s="198">
        <f t="shared" si="22"/>
        <v>0</v>
      </c>
      <c r="Z89" s="198">
        <f t="shared" si="23"/>
        <v>0</v>
      </c>
    </row>
    <row r="90" spans="1:26" ht="12.95" customHeight="1">
      <c r="A90" s="679" t="str">
        <f>IF(UMYr3!A90&lt;&gt;"",UMYr3!A90,"")</f>
        <v/>
      </c>
      <c r="B90" s="85" t="str">
        <f>UMYr1!B90</f>
        <v/>
      </c>
      <c r="C90" s="680" t="str">
        <f>IF(UMYr1!C90="","",UMYr1!C90)</f>
        <v/>
      </c>
      <c r="D90" s="106">
        <f>Sponsor!G93</f>
        <v>0</v>
      </c>
      <c r="E90" s="8"/>
      <c r="F90" s="8"/>
      <c r="G90" s="8"/>
      <c r="H90" s="8"/>
      <c r="I90" s="8"/>
      <c r="J90" s="31">
        <f t="shared" si="29"/>
        <v>0</v>
      </c>
      <c r="K90" s="32">
        <f t="shared" si="30"/>
        <v>0</v>
      </c>
      <c r="L90" s="8"/>
      <c r="M90" s="8"/>
      <c r="N90" s="32">
        <f t="shared" si="31"/>
        <v>0</v>
      </c>
      <c r="O90" s="237"/>
      <c r="P90" s="237"/>
      <c r="T90" s="198">
        <f t="shared" si="17"/>
        <v>0</v>
      </c>
      <c r="U90" s="198">
        <f t="shared" si="18"/>
        <v>0</v>
      </c>
      <c r="V90" s="198">
        <f t="shared" si="19"/>
        <v>0</v>
      </c>
      <c r="W90" s="198">
        <f t="shared" si="20"/>
        <v>0</v>
      </c>
      <c r="X90" s="198">
        <f t="shared" si="21"/>
        <v>0</v>
      </c>
      <c r="Y90" s="198">
        <f t="shared" si="22"/>
        <v>0</v>
      </c>
      <c r="Z90" s="198">
        <f t="shared" si="23"/>
        <v>0</v>
      </c>
    </row>
    <row r="91" spans="1:26" ht="12.95" customHeight="1">
      <c r="A91" s="679" t="str">
        <f>IF(UMYr3!A91&lt;&gt;"",UMYr3!A91,"")</f>
        <v/>
      </c>
      <c r="B91" s="85" t="str">
        <f>UMYr1!B91</f>
        <v/>
      </c>
      <c r="C91" s="680" t="str">
        <f>IF(UMYr1!C91="","",UMYr1!C91)</f>
        <v/>
      </c>
      <c r="D91" s="106">
        <f>Sponsor!G94</f>
        <v>0</v>
      </c>
      <c r="E91" s="8"/>
      <c r="F91" s="8"/>
      <c r="G91" s="8"/>
      <c r="H91" s="8"/>
      <c r="I91" s="8"/>
      <c r="J91" s="31">
        <f t="shared" si="29"/>
        <v>0</v>
      </c>
      <c r="K91" s="32">
        <f t="shared" si="30"/>
        <v>0</v>
      </c>
      <c r="L91" s="8"/>
      <c r="M91" s="8"/>
      <c r="N91" s="32">
        <f t="shared" si="31"/>
        <v>0</v>
      </c>
      <c r="O91" s="237"/>
      <c r="P91" s="237"/>
      <c r="T91" s="198">
        <f t="shared" si="17"/>
        <v>0</v>
      </c>
      <c r="U91" s="198">
        <f t="shared" si="18"/>
        <v>0</v>
      </c>
      <c r="V91" s="198">
        <f t="shared" si="19"/>
        <v>0</v>
      </c>
      <c r="W91" s="198">
        <f t="shared" si="20"/>
        <v>0</v>
      </c>
      <c r="X91" s="198">
        <f t="shared" si="21"/>
        <v>0</v>
      </c>
      <c r="Y91" s="198">
        <f t="shared" si="22"/>
        <v>0</v>
      </c>
      <c r="Z91" s="198">
        <f t="shared" si="23"/>
        <v>0</v>
      </c>
    </row>
    <row r="92" spans="1:26" ht="12.95" customHeight="1">
      <c r="A92" s="679" t="str">
        <f>IF(UMYr3!A92&lt;&gt;"",UMYr3!A92,"")</f>
        <v/>
      </c>
      <c r="B92" s="85" t="str">
        <f>UMYr1!B92</f>
        <v/>
      </c>
      <c r="C92" s="680" t="str">
        <f>IF(UMYr1!C92="","",UMYr1!C92)</f>
        <v/>
      </c>
      <c r="D92" s="106">
        <f>Sponsor!G95</f>
        <v>0</v>
      </c>
      <c r="E92" s="8"/>
      <c r="F92" s="8"/>
      <c r="G92" s="8"/>
      <c r="H92" s="8"/>
      <c r="I92" s="8"/>
      <c r="J92" s="31">
        <f t="shared" si="29"/>
        <v>0</v>
      </c>
      <c r="K92" s="32">
        <f t="shared" si="30"/>
        <v>0</v>
      </c>
      <c r="L92" s="8"/>
      <c r="M92" s="8"/>
      <c r="N92" s="32">
        <f t="shared" si="31"/>
        <v>0</v>
      </c>
      <c r="O92" s="237"/>
      <c r="P92" s="237"/>
    </row>
    <row r="93" spans="1:26" ht="12.95" customHeight="1">
      <c r="A93" s="679" t="str">
        <f>IF(UMYr3!A93&lt;&gt;"",UMYr3!A93,"")</f>
        <v/>
      </c>
      <c r="B93" s="85" t="str">
        <f>UMYr1!B93</f>
        <v/>
      </c>
      <c r="C93" s="680" t="str">
        <f>IF(UMYr1!C93="","",UMYr1!C93)</f>
        <v/>
      </c>
      <c r="D93" s="106">
        <f>Sponsor!G96</f>
        <v>0</v>
      </c>
      <c r="E93" s="8"/>
      <c r="F93" s="8"/>
      <c r="G93" s="8"/>
      <c r="H93" s="8"/>
      <c r="I93" s="8"/>
      <c r="J93" s="31">
        <f t="shared" si="29"/>
        <v>0</v>
      </c>
      <c r="K93" s="32">
        <f t="shared" si="30"/>
        <v>0</v>
      </c>
      <c r="L93" s="8"/>
      <c r="M93" s="8"/>
      <c r="N93" s="32">
        <f t="shared" si="31"/>
        <v>0</v>
      </c>
      <c r="O93" s="237"/>
      <c r="P93" s="237"/>
    </row>
    <row r="94" spans="1:26" ht="12.95" customHeight="1">
      <c r="A94" s="679" t="str">
        <f>IF(UMYr3!A94&lt;&gt;"",UMYr3!A94,"")</f>
        <v/>
      </c>
      <c r="B94" s="85" t="str">
        <f>UMYr1!B94</f>
        <v/>
      </c>
      <c r="C94" s="680" t="str">
        <f>IF(UMYr1!C94="","",UMYr1!C94)</f>
        <v/>
      </c>
      <c r="D94" s="106">
        <f>Sponsor!G97</f>
        <v>0</v>
      </c>
      <c r="E94" s="8"/>
      <c r="F94" s="8"/>
      <c r="G94" s="8"/>
      <c r="H94" s="8"/>
      <c r="I94" s="8"/>
      <c r="J94" s="31">
        <f t="shared" si="29"/>
        <v>0</v>
      </c>
      <c r="K94" s="32">
        <f t="shared" si="30"/>
        <v>0</v>
      </c>
      <c r="L94" s="8"/>
      <c r="M94" s="8"/>
      <c r="N94" s="32">
        <f t="shared" si="31"/>
        <v>0</v>
      </c>
      <c r="O94" s="237"/>
      <c r="P94" s="237"/>
    </row>
    <row r="95" spans="1:26" ht="12.95" customHeight="1">
      <c r="A95" s="679" t="str">
        <f>IF(UMYr3!A95&lt;&gt;"",UMYr3!A95,"")</f>
        <v/>
      </c>
      <c r="B95" s="85" t="str">
        <f>UMYr1!B95</f>
        <v/>
      </c>
      <c r="C95" s="680" t="str">
        <f>IF(UMYr1!C95="","",UMYr1!C95)</f>
        <v/>
      </c>
      <c r="D95" s="106">
        <f>Sponsor!G98</f>
        <v>0</v>
      </c>
      <c r="E95" s="8"/>
      <c r="F95" s="8"/>
      <c r="G95" s="8"/>
      <c r="H95" s="8"/>
      <c r="I95" s="8"/>
      <c r="J95" s="31">
        <f t="shared" si="29"/>
        <v>0</v>
      </c>
      <c r="K95" s="32">
        <f t="shared" si="30"/>
        <v>0</v>
      </c>
      <c r="L95" s="8"/>
      <c r="M95" s="8"/>
      <c r="N95" s="32">
        <f t="shared" si="31"/>
        <v>0</v>
      </c>
      <c r="O95" s="237"/>
      <c r="P95" s="237"/>
    </row>
    <row r="96" spans="1:26" ht="12.95" customHeight="1">
      <c r="A96" s="679" t="str">
        <f>IF(UMYr3!A96&lt;&gt;"",UMYr3!A96,"")</f>
        <v/>
      </c>
      <c r="B96" s="85" t="str">
        <f>UMYr1!B96</f>
        <v/>
      </c>
      <c r="C96" s="680" t="str">
        <f>IF(UMYr1!C96="","",UMYr1!C96)</f>
        <v/>
      </c>
      <c r="D96" s="106">
        <f>Sponsor!G99</f>
        <v>0</v>
      </c>
      <c r="E96" s="8"/>
      <c r="F96" s="8"/>
      <c r="G96" s="8"/>
      <c r="H96" s="8"/>
      <c r="I96" s="8"/>
      <c r="J96" s="31">
        <f t="shared" si="29"/>
        <v>0</v>
      </c>
      <c r="K96" s="32">
        <f t="shared" si="30"/>
        <v>0</v>
      </c>
      <c r="L96" s="8"/>
      <c r="M96" s="8"/>
      <c r="N96" s="32">
        <f t="shared" si="31"/>
        <v>0</v>
      </c>
      <c r="O96" s="237"/>
      <c r="P96" s="237"/>
    </row>
    <row r="97" spans="1:18" ht="12.95" customHeight="1">
      <c r="A97" s="679" t="str">
        <f>IF(UMYr3!A97&lt;&gt;"",UMYr3!A97,"")</f>
        <v/>
      </c>
      <c r="B97" s="85" t="str">
        <f>UMYr1!B97</f>
        <v/>
      </c>
      <c r="C97" s="680" t="str">
        <f>IF(UMYr1!C97="","",UMYr1!C97)</f>
        <v/>
      </c>
      <c r="D97" s="106">
        <f>Sponsor!G100</f>
        <v>0</v>
      </c>
      <c r="E97" s="8"/>
      <c r="F97" s="8"/>
      <c r="G97" s="8"/>
      <c r="H97" s="8"/>
      <c r="I97" s="8"/>
      <c r="J97" s="31">
        <f t="shared" si="29"/>
        <v>0</v>
      </c>
      <c r="K97" s="32">
        <f t="shared" si="30"/>
        <v>0</v>
      </c>
      <c r="L97" s="8"/>
      <c r="M97" s="8"/>
      <c r="N97" s="32">
        <f t="shared" si="31"/>
        <v>0</v>
      </c>
      <c r="O97" s="237"/>
      <c r="P97" s="237"/>
    </row>
    <row r="98" spans="1:18" ht="12.95" customHeight="1">
      <c r="A98" s="679" t="str">
        <f>IF(UMYr3!A98&lt;&gt;"",UMYr3!A98,"")</f>
        <v/>
      </c>
      <c r="B98" s="85" t="str">
        <f>UMYr1!B98</f>
        <v/>
      </c>
      <c r="C98" s="680" t="str">
        <f>IF(UMYr1!C98="","",UMYr1!C98)</f>
        <v/>
      </c>
      <c r="D98" s="106">
        <f>Sponsor!G101</f>
        <v>0</v>
      </c>
      <c r="E98" s="8"/>
      <c r="F98" s="8"/>
      <c r="G98" s="8"/>
      <c r="H98" s="8"/>
      <c r="I98" s="8"/>
      <c r="J98" s="31">
        <f t="shared" si="29"/>
        <v>0</v>
      </c>
      <c r="K98" s="32">
        <f t="shared" si="30"/>
        <v>0</v>
      </c>
      <c r="L98" s="8"/>
      <c r="M98" s="8"/>
      <c r="N98" s="32">
        <f t="shared" si="31"/>
        <v>0</v>
      </c>
      <c r="O98" s="237"/>
      <c r="P98" s="237"/>
    </row>
    <row r="99" spans="1:18" ht="12.95" customHeight="1">
      <c r="A99" s="679" t="str">
        <f>IF(UMYr3!A99&lt;&gt;"",UMYr3!A99,"")</f>
        <v/>
      </c>
      <c r="B99" s="85" t="str">
        <f>UMYr1!B99</f>
        <v/>
      </c>
      <c r="C99" s="680" t="str">
        <f>IF(UMYr1!C99="","",UMYr1!C99)</f>
        <v/>
      </c>
      <c r="D99" s="106">
        <f>Sponsor!G102</f>
        <v>0</v>
      </c>
      <c r="E99" s="8"/>
      <c r="F99" s="8"/>
      <c r="G99" s="8"/>
      <c r="H99" s="8"/>
      <c r="I99" s="8"/>
      <c r="J99" s="31">
        <f t="shared" si="29"/>
        <v>0</v>
      </c>
      <c r="K99" s="32">
        <f t="shared" si="30"/>
        <v>0</v>
      </c>
      <c r="L99" s="8"/>
      <c r="M99" s="8"/>
      <c r="N99" s="32">
        <f t="shared" si="31"/>
        <v>0</v>
      </c>
      <c r="O99" s="237"/>
      <c r="P99" s="237"/>
    </row>
    <row r="100" spans="1:18" ht="12.95" customHeight="1">
      <c r="A100" s="679" t="str">
        <f>IF(UMYr3!A100&lt;&gt;"",UMYr3!A100,"")</f>
        <v/>
      </c>
      <c r="B100" s="85" t="str">
        <f>UMYr1!B100</f>
        <v/>
      </c>
      <c r="C100" s="680" t="str">
        <f>IF(UMYr1!C100="","",UMYr1!C100)</f>
        <v/>
      </c>
      <c r="D100" s="106">
        <f>Sponsor!G103</f>
        <v>0</v>
      </c>
      <c r="E100" s="8"/>
      <c r="F100" s="8"/>
      <c r="G100" s="8"/>
      <c r="H100" s="8"/>
      <c r="I100" s="8"/>
      <c r="J100" s="31">
        <f t="shared" si="29"/>
        <v>0</v>
      </c>
      <c r="K100" s="32">
        <f t="shared" si="30"/>
        <v>0</v>
      </c>
      <c r="L100" s="8"/>
      <c r="M100" s="8"/>
      <c r="N100" s="32">
        <f t="shared" si="31"/>
        <v>0</v>
      </c>
      <c r="O100" s="237"/>
      <c r="P100" s="237"/>
    </row>
    <row r="101" spans="1:18" ht="12.95" customHeight="1">
      <c r="A101" s="679" t="str">
        <f>IF(UMYr3!A101&lt;&gt;"",UMYr3!A101,"")</f>
        <v/>
      </c>
      <c r="B101" s="85" t="str">
        <f>UMYr1!B101</f>
        <v/>
      </c>
      <c r="C101" s="680" t="str">
        <f>IF(UMYr1!C101="","",UMYr1!C101)</f>
        <v/>
      </c>
      <c r="D101" s="106">
        <f>Sponsor!G104</f>
        <v>0</v>
      </c>
      <c r="E101" s="8"/>
      <c r="F101" s="8"/>
      <c r="G101" s="8"/>
      <c r="H101" s="8"/>
      <c r="I101" s="8"/>
      <c r="J101" s="31">
        <f t="shared" si="29"/>
        <v>0</v>
      </c>
      <c r="K101" s="32">
        <f t="shared" si="30"/>
        <v>0</v>
      </c>
      <c r="L101" s="8"/>
      <c r="M101" s="8"/>
      <c r="N101" s="41">
        <f t="shared" si="31"/>
        <v>0</v>
      </c>
      <c r="O101" s="237"/>
      <c r="P101" s="237"/>
    </row>
    <row r="102" spans="1:18" ht="12.95" customHeight="1" thickBot="1">
      <c r="A102" s="665" t="str">
        <f>IF(UMYr3!A102&lt;&gt;"",UMYr3!A102,"")</f>
        <v/>
      </c>
      <c r="B102" s="768" t="s">
        <v>672</v>
      </c>
      <c r="C102" s="768"/>
      <c r="D102" s="71">
        <f>Sponsor!G105</f>
        <v>0</v>
      </c>
      <c r="E102" s="295">
        <f t="shared" ref="E102:N102" si="32">SUM(E86:E101)</f>
        <v>0</v>
      </c>
      <c r="F102" s="295">
        <f t="shared" si="32"/>
        <v>0</v>
      </c>
      <c r="G102" s="295">
        <f t="shared" si="32"/>
        <v>0</v>
      </c>
      <c r="H102" s="295">
        <f t="shared" si="32"/>
        <v>0</v>
      </c>
      <c r="I102" s="295">
        <f t="shared" si="32"/>
        <v>0</v>
      </c>
      <c r="J102" s="293">
        <f t="shared" si="32"/>
        <v>0</v>
      </c>
      <c r="K102" s="293">
        <f t="shared" si="32"/>
        <v>0</v>
      </c>
      <c r="L102" s="295">
        <f t="shared" si="32"/>
        <v>0</v>
      </c>
      <c r="M102" s="295">
        <f t="shared" si="32"/>
        <v>0</v>
      </c>
      <c r="N102" s="71">
        <f t="shared" si="32"/>
        <v>0</v>
      </c>
      <c r="O102" s="238"/>
      <c r="P102" s="238"/>
    </row>
    <row r="103" spans="1:18" ht="12.95" customHeight="1">
      <c r="A103" s="156" t="str">
        <f>IF(UMYr3!A103&lt;&gt;"",UMYr3!A103,"")</f>
        <v/>
      </c>
      <c r="B103" s="74" t="str">
        <f>IF(UMYr1!B103="","",UMYr1!B103)</f>
        <v>ADDITIONAL CAPITAL EQUIPMENT OR CONSTRUCTION - descriptions and account codes must be entered in Sponsor tab</v>
      </c>
      <c r="C103" s="230"/>
      <c r="D103" s="230"/>
      <c r="E103" s="230"/>
      <c r="F103" s="230"/>
      <c r="G103" s="230"/>
      <c r="H103" s="230"/>
      <c r="I103" s="230"/>
      <c r="J103" s="230"/>
      <c r="K103" s="230"/>
      <c r="L103" s="230"/>
      <c r="M103" s="230"/>
      <c r="N103" s="333"/>
      <c r="O103" s="320"/>
      <c r="P103" s="321"/>
      <c r="Q103" s="321"/>
      <c r="R103" s="321"/>
    </row>
    <row r="104" spans="1:18" ht="12.95" customHeight="1">
      <c r="A104" s="679" t="str">
        <f>IF(UMYr3!A104&lt;&gt;"",UMYr3!A104,"")</f>
        <v/>
      </c>
      <c r="B104" s="85" t="str">
        <f>UMYr1!B104</f>
        <v/>
      </c>
      <c r="C104" s="680" t="str">
        <f>IF(UMYr1!C104="","",UMYr1!C104)</f>
        <v/>
      </c>
      <c r="D104" s="108">
        <f>Sponsor!G107</f>
        <v>0</v>
      </c>
      <c r="E104" s="9"/>
      <c r="F104" s="9"/>
      <c r="G104" s="9"/>
      <c r="H104" s="9"/>
      <c r="I104" s="9"/>
      <c r="J104" s="23">
        <f t="shared" ref="J104:J109" si="33">SUM(E104:I104)</f>
        <v>0</v>
      </c>
      <c r="K104" s="32">
        <f t="shared" ref="K104:K109" si="34">D104+J104</f>
        <v>0</v>
      </c>
      <c r="L104" s="12"/>
      <c r="M104" s="13"/>
      <c r="N104" s="24">
        <f t="shared" ref="N104:N109" si="35">SUM(K104:M104)</f>
        <v>0</v>
      </c>
      <c r="O104" s="722" t="s">
        <v>507</v>
      </c>
      <c r="P104" s="723"/>
      <c r="Q104" s="723"/>
      <c r="R104" s="723"/>
    </row>
    <row r="105" spans="1:18" ht="12.95" customHeight="1">
      <c r="A105" s="679" t="str">
        <f>IF(UMYr3!A105&lt;&gt;"",UMYr3!A105,"")</f>
        <v/>
      </c>
      <c r="B105" s="85" t="str">
        <f>UMYr1!B105</f>
        <v/>
      </c>
      <c r="C105" s="680" t="str">
        <f>IF(UMYr1!C105="","",UMYr1!C105)</f>
        <v/>
      </c>
      <c r="D105" s="108">
        <f>Sponsor!G108</f>
        <v>0</v>
      </c>
      <c r="E105" s="9"/>
      <c r="F105" s="9"/>
      <c r="G105" s="9"/>
      <c r="H105" s="9"/>
      <c r="I105" s="9"/>
      <c r="J105" s="23">
        <f t="shared" si="33"/>
        <v>0</v>
      </c>
      <c r="K105" s="32">
        <f t="shared" si="34"/>
        <v>0</v>
      </c>
      <c r="L105" s="10"/>
      <c r="M105" s="9"/>
      <c r="N105" s="25">
        <f t="shared" si="35"/>
        <v>0</v>
      </c>
      <c r="O105" s="211" t="s">
        <v>508</v>
      </c>
      <c r="P105" s="721" t="s">
        <v>509</v>
      </c>
      <c r="Q105" s="721"/>
      <c r="R105" s="721"/>
    </row>
    <row r="106" spans="1:18" ht="12.95" customHeight="1">
      <c r="A106" s="679" t="str">
        <f>IF(UMYr3!A106&lt;&gt;"",UMYr3!A106,"")</f>
        <v/>
      </c>
      <c r="B106" s="85" t="str">
        <f>UMYr1!B106</f>
        <v/>
      </c>
      <c r="C106" s="680" t="str">
        <f>IF(UMYr1!C106="","",UMYr1!C106)</f>
        <v/>
      </c>
      <c r="D106" s="108">
        <f>Sponsor!G109</f>
        <v>0</v>
      </c>
      <c r="E106" s="9"/>
      <c r="F106" s="9"/>
      <c r="G106" s="9"/>
      <c r="H106" s="9"/>
      <c r="I106" s="9"/>
      <c r="J106" s="23">
        <f t="shared" si="33"/>
        <v>0</v>
      </c>
      <c r="K106" s="32">
        <f t="shared" si="34"/>
        <v>0</v>
      </c>
      <c r="L106" s="10"/>
      <c r="M106" s="9"/>
      <c r="N106" s="25">
        <f t="shared" si="35"/>
        <v>0</v>
      </c>
      <c r="O106" s="212">
        <v>62300</v>
      </c>
      <c r="P106" s="721" t="s">
        <v>510</v>
      </c>
      <c r="Q106" s="721"/>
      <c r="R106" s="721"/>
    </row>
    <row r="107" spans="1:18" ht="12.95" customHeight="1">
      <c r="A107" s="679" t="str">
        <f>IF(UMYr3!A107&lt;&gt;"",UMYr3!A107,"")</f>
        <v/>
      </c>
      <c r="B107" s="85" t="str">
        <f>UMYr1!B107</f>
        <v/>
      </c>
      <c r="C107" s="680" t="str">
        <f>IF(UMYr1!C107="","",UMYr1!C107)</f>
        <v/>
      </c>
      <c r="D107" s="108">
        <f>Sponsor!G110</f>
        <v>0</v>
      </c>
      <c r="E107" s="9"/>
      <c r="F107" s="9"/>
      <c r="G107" s="9"/>
      <c r="H107" s="9"/>
      <c r="I107" s="9"/>
      <c r="J107" s="23">
        <f t="shared" si="33"/>
        <v>0</v>
      </c>
      <c r="K107" s="32">
        <f t="shared" si="34"/>
        <v>0</v>
      </c>
      <c r="L107" s="10"/>
      <c r="M107" s="9"/>
      <c r="N107" s="25">
        <f t="shared" si="35"/>
        <v>0</v>
      </c>
      <c r="O107" s="211" t="s">
        <v>512</v>
      </c>
      <c r="P107" s="736" t="s">
        <v>513</v>
      </c>
      <c r="Q107" s="737"/>
      <c r="R107" s="737"/>
    </row>
    <row r="108" spans="1:18" ht="12.95" customHeight="1">
      <c r="A108" s="679" t="str">
        <f>IF(UMYr3!A108&lt;&gt;"",UMYr3!A108,"")</f>
        <v/>
      </c>
      <c r="B108" s="85" t="str">
        <f>UMYr1!B108</f>
        <v/>
      </c>
      <c r="C108" s="680" t="str">
        <f>IF(UMYr1!C108="","",UMYr1!C108)</f>
        <v/>
      </c>
      <c r="D108" s="108">
        <f>Sponsor!G111</f>
        <v>0</v>
      </c>
      <c r="E108" s="9"/>
      <c r="F108" s="9"/>
      <c r="G108" s="9"/>
      <c r="H108" s="9"/>
      <c r="I108" s="9"/>
      <c r="J108" s="23">
        <f t="shared" si="33"/>
        <v>0</v>
      </c>
      <c r="K108" s="32">
        <f t="shared" si="34"/>
        <v>0</v>
      </c>
      <c r="L108" s="10"/>
      <c r="M108" s="9"/>
      <c r="N108" s="25">
        <f t="shared" si="35"/>
        <v>0</v>
      </c>
      <c r="O108" s="211" t="s">
        <v>515</v>
      </c>
      <c r="P108" s="736" t="s">
        <v>516</v>
      </c>
      <c r="Q108" s="737"/>
      <c r="R108" s="737"/>
    </row>
    <row r="109" spans="1:18" ht="12.95" customHeight="1" thickBot="1">
      <c r="A109" s="156" t="str">
        <f>IF(UMYr3!A109&lt;&gt;"",UMYr3!A109,"")</f>
        <v/>
      </c>
      <c r="B109" s="954" t="s">
        <v>580</v>
      </c>
      <c r="C109" s="768"/>
      <c r="D109" s="71">
        <f>Sponsor!G112</f>
        <v>0</v>
      </c>
      <c r="E109" s="295">
        <f>SUM(E104:E108)</f>
        <v>0</v>
      </c>
      <c r="F109" s="295">
        <f>SUM(F104:F108)</f>
        <v>0</v>
      </c>
      <c r="G109" s="295">
        <f>SUM(G104:G108)</f>
        <v>0</v>
      </c>
      <c r="H109" s="295">
        <f>SUM(H104:H108)</f>
        <v>0</v>
      </c>
      <c r="I109" s="295">
        <f>SUM(I104:I108)</f>
        <v>0</v>
      </c>
      <c r="J109" s="295">
        <f t="shared" si="33"/>
        <v>0</v>
      </c>
      <c r="K109" s="71">
        <f t="shared" si="34"/>
        <v>0</v>
      </c>
      <c r="L109" s="295">
        <f>SUM(L104:L108)</f>
        <v>0</v>
      </c>
      <c r="M109" s="295">
        <f>SUM(M104:M108)</f>
        <v>0</v>
      </c>
      <c r="N109" s="79">
        <f t="shared" si="35"/>
        <v>0</v>
      </c>
      <c r="O109" s="237"/>
      <c r="P109" s="237"/>
    </row>
    <row r="110" spans="1:18" ht="12.95" customHeight="1">
      <c r="A110" s="156" t="str">
        <f>IF(UMYr3!A110&lt;&gt;"",UMYr3!A110,"")</f>
        <v/>
      </c>
      <c r="B110" s="947" t="str">
        <f>IF(UMYr1!B110="","",UMYr1!B110)</f>
        <v>OTHER DIRECT COSTS - descriptions and account codes must be entered in Sponsor tab</v>
      </c>
      <c r="C110" s="948" t="str">
        <f>IF(UMYr1!C110="","",UMYr1!C110)</f>
        <v/>
      </c>
      <c r="D110" s="948" t="str">
        <f>IF(UMYr1!D110="","",UMYr1!D110)</f>
        <v/>
      </c>
      <c r="E110" s="948" t="str">
        <f>IF(UMYr1!E110="","",UMYr1!E110)</f>
        <v/>
      </c>
      <c r="F110" s="948" t="str">
        <f>IF(UMYr1!F110="","",UMYr1!F110)</f>
        <v/>
      </c>
      <c r="G110" s="948" t="str">
        <f>IF(UMYr1!G110="","",UMYr1!G110)</f>
        <v/>
      </c>
      <c r="H110" s="948" t="str">
        <f>IF(UMYr1!H110="","",UMYr1!H110)</f>
        <v/>
      </c>
      <c r="I110" s="948" t="str">
        <f>IF(UMYr1!I110="","",UMYr1!I110)</f>
        <v/>
      </c>
      <c r="J110" s="1064" t="str">
        <f>IF(UMYr1!J110="","",UMYr1!J110)</f>
        <v/>
      </c>
      <c r="K110" s="1064" t="str">
        <f>IF(UMYr1!K110="","",UMYr1!K110)</f>
        <v/>
      </c>
      <c r="L110" s="1064" t="str">
        <f>IF(UMYr1!L110="","",UMYr1!L110)</f>
        <v/>
      </c>
      <c r="M110" s="1064" t="str">
        <f>IF(UMYr1!M110="","",UMYr1!M110)</f>
        <v/>
      </c>
      <c r="N110" s="1065" t="str">
        <f>IF(UMYr1!N110="","",UMYr1!N110)</f>
        <v/>
      </c>
      <c r="O110" s="237"/>
      <c r="P110" s="237"/>
    </row>
    <row r="111" spans="1:18" ht="12.95" customHeight="1">
      <c r="A111" s="679">
        <f>IF(UMYr3!A111&lt;&gt;"",UMYr3!A111,"")</f>
        <v>60900</v>
      </c>
      <c r="B111" s="152" t="str">
        <f>UMYr1!B111</f>
        <v/>
      </c>
      <c r="C111" s="139" t="str">
        <f>IF(UMYr1!C111="","",UMYr1!C111)</f>
        <v>Publications</v>
      </c>
      <c r="D111" s="108">
        <f>Sponsor!G115</f>
        <v>0</v>
      </c>
      <c r="E111" s="9"/>
      <c r="F111" s="9"/>
      <c r="G111" s="9"/>
      <c r="H111" s="9"/>
      <c r="I111" s="9"/>
      <c r="J111" s="23">
        <f>SUM(E111:I111)</f>
        <v>0</v>
      </c>
      <c r="K111" s="32">
        <f>D111+J111</f>
        <v>0</v>
      </c>
      <c r="L111" s="9"/>
      <c r="M111" s="9"/>
      <c r="N111" s="173">
        <f>SUM(K111:M111)</f>
        <v>0</v>
      </c>
    </row>
    <row r="112" spans="1:18">
      <c r="A112" s="679" t="str">
        <f>IF(UMYr3!A112&lt;&gt;"",UMYr3!A112,"")</f>
        <v/>
      </c>
      <c r="B112" s="690" t="str">
        <f>UMYr1!B112</f>
        <v/>
      </c>
      <c r="C112" s="680" t="str">
        <f>IF(UMYr1!C112="","",UMYr1!C112)</f>
        <v/>
      </c>
      <c r="D112" s="108">
        <f>Sponsor!G116</f>
        <v>0</v>
      </c>
      <c r="E112" s="9"/>
      <c r="F112" s="9"/>
      <c r="G112" s="9"/>
      <c r="H112" s="9"/>
      <c r="I112" s="9"/>
      <c r="J112" s="23">
        <f>SUM(E112:I112)</f>
        <v>0</v>
      </c>
      <c r="K112" s="32">
        <f>D112+J112</f>
        <v>0</v>
      </c>
      <c r="L112" s="9"/>
      <c r="M112" s="9"/>
      <c r="N112" s="173">
        <f>SUM(K112:M112)</f>
        <v>0</v>
      </c>
    </row>
    <row r="113" spans="1:15">
      <c r="A113" s="679" t="str">
        <f>IF(UMYr3!A113&lt;&gt;"",UMYr3!A113,"")</f>
        <v/>
      </c>
      <c r="B113" s="690" t="str">
        <f>UMYr1!B113</f>
        <v/>
      </c>
      <c r="C113" s="680" t="str">
        <f>IF(UMYr1!C113="","",UMYr1!C113)</f>
        <v/>
      </c>
      <c r="D113" s="108">
        <f>Sponsor!G117</f>
        <v>0</v>
      </c>
      <c r="E113" s="9"/>
      <c r="F113" s="9"/>
      <c r="G113" s="9"/>
      <c r="H113" s="9"/>
      <c r="I113" s="9"/>
      <c r="J113" s="23">
        <f>SUM(E113:I113)</f>
        <v>0</v>
      </c>
      <c r="K113" s="32">
        <f>D113+J113</f>
        <v>0</v>
      </c>
      <c r="L113" s="9"/>
      <c r="M113" s="9"/>
      <c r="N113" s="173">
        <f>SUM(K113:M113)</f>
        <v>0</v>
      </c>
    </row>
    <row r="114" spans="1:15">
      <c r="A114" s="679" t="str">
        <f>IF(UMYr3!A114&lt;&gt;"",UMYr3!A114,"")</f>
        <v/>
      </c>
      <c r="B114" s="679" t="str">
        <f>IF(UMYr3!B114="","",UMYr3!B114)</f>
        <v/>
      </c>
      <c r="C114" s="680" t="str">
        <f>IF(UMYr3!C114="","",UMYr3!C114)</f>
        <v/>
      </c>
      <c r="D114" s="106">
        <f>Sponsor!G118</f>
        <v>0</v>
      </c>
      <c r="E114" s="88"/>
      <c r="F114" s="88"/>
      <c r="G114" s="88"/>
      <c r="H114" s="88"/>
      <c r="I114" s="88"/>
      <c r="J114" s="11">
        <f t="shared" ref="J114:J119" si="36">SUM(E114:I114)</f>
        <v>0</v>
      </c>
      <c r="K114" s="32">
        <f t="shared" ref="K114:K119" si="37">D114+J114</f>
        <v>0</v>
      </c>
      <c r="L114" s="88"/>
      <c r="M114" s="88"/>
      <c r="N114" s="78">
        <f t="shared" ref="N114:N119" si="38">K114+SUM(L114:M114)</f>
        <v>0</v>
      </c>
    </row>
    <row r="115" spans="1:15">
      <c r="A115" s="679" t="str">
        <f>IF(UMYr3!A115&lt;&gt;"",UMYr3!A115,"")</f>
        <v/>
      </c>
      <c r="B115" s="679" t="str">
        <f>IF(UMYr3!B115="","",UMYr3!B115)</f>
        <v/>
      </c>
      <c r="C115" s="680" t="str">
        <f>IF(UMYr3!C115="","",UMYr3!C115)</f>
        <v/>
      </c>
      <c r="D115" s="106">
        <f>Sponsor!G119</f>
        <v>0</v>
      </c>
      <c r="E115" s="88"/>
      <c r="F115" s="88"/>
      <c r="G115" s="88"/>
      <c r="H115" s="88"/>
      <c r="I115" s="88"/>
      <c r="J115" s="11">
        <f t="shared" si="36"/>
        <v>0</v>
      </c>
      <c r="K115" s="32">
        <f t="shared" si="37"/>
        <v>0</v>
      </c>
      <c r="L115" s="88"/>
      <c r="M115" s="88"/>
      <c r="N115" s="78">
        <f t="shared" si="38"/>
        <v>0</v>
      </c>
    </row>
    <row r="116" spans="1:15">
      <c r="A116" s="679" t="str">
        <f>IF(UMYr3!A116&lt;&gt;"",UMYr3!A116,"")</f>
        <v/>
      </c>
      <c r="B116" s="679" t="str">
        <f>IF(UMYr3!B116="","",UMYr3!B116)</f>
        <v/>
      </c>
      <c r="C116" s="680" t="str">
        <f>IF(UMYr3!C116="","",UMYr3!C116)</f>
        <v/>
      </c>
      <c r="D116" s="106">
        <f>Sponsor!G120</f>
        <v>0</v>
      </c>
      <c r="E116" s="88"/>
      <c r="F116" s="88"/>
      <c r="G116" s="88"/>
      <c r="H116" s="88"/>
      <c r="I116" s="88"/>
      <c r="J116" s="11">
        <f t="shared" si="36"/>
        <v>0</v>
      </c>
      <c r="K116" s="32">
        <f t="shared" si="37"/>
        <v>0</v>
      </c>
      <c r="L116" s="88"/>
      <c r="M116" s="88"/>
      <c r="N116" s="78">
        <f t="shared" si="38"/>
        <v>0</v>
      </c>
    </row>
    <row r="117" spans="1:15">
      <c r="A117" s="679" t="str">
        <f>IF(UMYr3!A117&lt;&gt;"",UMYr3!A117,"")</f>
        <v/>
      </c>
      <c r="B117" s="679" t="str">
        <f>IF(UMYr3!B117="","",UMYr3!B117)</f>
        <v/>
      </c>
      <c r="C117" s="680" t="str">
        <f>IF(UMYr3!C117="","",UMYr3!C117)</f>
        <v/>
      </c>
      <c r="D117" s="106">
        <f>Sponsor!G121</f>
        <v>0</v>
      </c>
      <c r="E117" s="88"/>
      <c r="F117" s="88"/>
      <c r="G117" s="88"/>
      <c r="H117" s="88"/>
      <c r="I117" s="88"/>
      <c r="J117" s="11">
        <f t="shared" si="36"/>
        <v>0</v>
      </c>
      <c r="K117" s="32">
        <f t="shared" si="37"/>
        <v>0</v>
      </c>
      <c r="L117" s="88"/>
      <c r="M117" s="88"/>
      <c r="N117" s="78">
        <f t="shared" si="38"/>
        <v>0</v>
      </c>
    </row>
    <row r="118" spans="1:15">
      <c r="A118" s="679" t="str">
        <f>IF(UMYr3!A118&lt;&gt;"",UMYr3!A118,"")</f>
        <v/>
      </c>
      <c r="B118" s="679" t="str">
        <f>IF(UMYr3!B118="","",UMYr3!B118)</f>
        <v/>
      </c>
      <c r="C118" s="680" t="str">
        <f>IF(UMYr3!C118="","",UMYr3!C118)</f>
        <v/>
      </c>
      <c r="D118" s="106">
        <f>Sponsor!G122</f>
        <v>0</v>
      </c>
      <c r="E118" s="88"/>
      <c r="F118" s="88"/>
      <c r="G118" s="88"/>
      <c r="H118" s="88"/>
      <c r="I118" s="88"/>
      <c r="J118" s="11">
        <f t="shared" si="36"/>
        <v>0</v>
      </c>
      <c r="K118" s="32">
        <f t="shared" si="37"/>
        <v>0</v>
      </c>
      <c r="L118" s="88"/>
      <c r="M118" s="88"/>
      <c r="N118" s="78">
        <f t="shared" si="38"/>
        <v>0</v>
      </c>
    </row>
    <row r="119" spans="1:15">
      <c r="A119" s="679" t="str">
        <f>IF(UMYr3!A119&lt;&gt;"",UMYr3!A119,"")</f>
        <v/>
      </c>
      <c r="B119" s="679" t="str">
        <f>IF(UMYr3!B119="","",UMYr3!B119)</f>
        <v/>
      </c>
      <c r="C119" s="680" t="str">
        <f>IF(UMYr3!C119="","",UMYr3!C119)</f>
        <v/>
      </c>
      <c r="D119" s="298">
        <f>Sponsor!G123</f>
        <v>0</v>
      </c>
      <c r="E119" s="88"/>
      <c r="F119" s="88"/>
      <c r="G119" s="88"/>
      <c r="H119" s="88"/>
      <c r="I119" s="88"/>
      <c r="J119" s="299">
        <f t="shared" si="36"/>
        <v>0</v>
      </c>
      <c r="K119" s="298">
        <f t="shared" si="37"/>
        <v>0</v>
      </c>
      <c r="L119" s="88"/>
      <c r="M119" s="88"/>
      <c r="N119" s="94">
        <f t="shared" si="38"/>
        <v>0</v>
      </c>
    </row>
    <row r="120" spans="1:15" ht="13.5" thickBot="1">
      <c r="A120" s="199" t="str">
        <f>IF(UMYr3!A120&lt;&gt;"",UMYr3!A120,"")</f>
        <v/>
      </c>
      <c r="B120" s="852" t="s">
        <v>584</v>
      </c>
      <c r="C120" s="1067"/>
      <c r="D120" s="638">
        <f>Sponsor!G124</f>
        <v>0</v>
      </c>
      <c r="E120" s="99">
        <f>SUM(E111:E119)</f>
        <v>0</v>
      </c>
      <c r="F120" s="128">
        <f t="shared" ref="F120:N120" si="39">SUM(F111:F119)</f>
        <v>0</v>
      </c>
      <c r="G120" s="128">
        <f t="shared" si="39"/>
        <v>0</v>
      </c>
      <c r="H120" s="128">
        <f t="shared" si="39"/>
        <v>0</v>
      </c>
      <c r="I120" s="128">
        <f t="shared" si="39"/>
        <v>0</v>
      </c>
      <c r="J120" s="300">
        <f t="shared" si="39"/>
        <v>0</v>
      </c>
      <c r="K120" s="638">
        <f t="shared" si="39"/>
        <v>0</v>
      </c>
      <c r="L120" s="99">
        <f t="shared" si="39"/>
        <v>0</v>
      </c>
      <c r="M120" s="300">
        <f t="shared" si="39"/>
        <v>0</v>
      </c>
      <c r="N120" s="329">
        <f t="shared" si="39"/>
        <v>0</v>
      </c>
    </row>
    <row r="121" spans="1:15">
      <c r="A121" s="156"/>
      <c r="B121" s="319" t="str">
        <f>IF(UMYr1!B121="","",UMYr1!B121)</f>
        <v>SUBRECIPIENT DETAIL - Subrecipient organizations and account codes must be entered in Sponsor tab</v>
      </c>
      <c r="C121" s="227"/>
      <c r="D121" s="227"/>
      <c r="E121" s="227"/>
      <c r="F121" s="227"/>
      <c r="G121" s="227"/>
      <c r="H121" s="227"/>
      <c r="I121" s="227"/>
      <c r="J121" s="227"/>
      <c r="K121" s="227"/>
      <c r="L121" s="227"/>
      <c r="M121" s="227"/>
      <c r="N121" s="228"/>
    </row>
    <row r="122" spans="1:15">
      <c r="A122" s="156"/>
      <c r="B122" s="691"/>
      <c r="C122" s="302" t="s">
        <v>589</v>
      </c>
      <c r="D122" s="240"/>
      <c r="E122" s="28"/>
      <c r="F122" s="28"/>
      <c r="G122" s="28"/>
      <c r="H122" s="28"/>
      <c r="I122" s="28"/>
      <c r="J122" s="28"/>
      <c r="K122" s="189"/>
      <c r="L122" s="28"/>
      <c r="M122" s="28"/>
      <c r="N122" s="241"/>
    </row>
    <row r="123" spans="1:15">
      <c r="A123" s="156"/>
      <c r="B123" s="115" t="str">
        <f>Sponsor!B127</f>
        <v>01</v>
      </c>
      <c r="C123" s="677" t="str">
        <f>IF(Sponsor!C127="","",Sponsor!C127)</f>
        <v/>
      </c>
      <c r="D123" s="638">
        <f>Sponsor!G127</f>
        <v>0</v>
      </c>
      <c r="E123" s="692"/>
      <c r="F123" s="686"/>
      <c r="G123" s="686"/>
      <c r="H123" s="686"/>
      <c r="I123" s="686"/>
      <c r="J123" s="638">
        <f>SUM(E123:I123)</f>
        <v>0</v>
      </c>
      <c r="K123" s="638">
        <f>D123+J123</f>
        <v>0</v>
      </c>
      <c r="L123" s="686"/>
      <c r="M123" s="686"/>
      <c r="N123" s="167">
        <f>D123+J123+L123+M123</f>
        <v>0</v>
      </c>
    </row>
    <row r="124" spans="1:15">
      <c r="A124" s="679">
        <f>Sponsor!A128</f>
        <v>60250</v>
      </c>
      <c r="B124" s="116"/>
      <c r="C124" s="102" t="str">
        <f>Sponsor!C128</f>
        <v>Less than $25K</v>
      </c>
      <c r="D124" s="124">
        <f>Sponsor!G128</f>
        <v>0</v>
      </c>
      <c r="E124" s="892" t="s">
        <v>679</v>
      </c>
      <c r="F124" s="893"/>
      <c r="G124" s="893"/>
      <c r="H124" s="893"/>
      <c r="I124" s="894"/>
      <c r="J124" s="673">
        <f>UMYr1!AC122</f>
        <v>0</v>
      </c>
      <c r="K124" s="673">
        <f t="shared" ref="K124:K182" si="40">D124+J124</f>
        <v>0</v>
      </c>
      <c r="L124" s="892" t="s">
        <v>679</v>
      </c>
      <c r="M124" s="957"/>
      <c r="N124" s="168">
        <f>K124</f>
        <v>0</v>
      </c>
      <c r="O124" s="303">
        <v>60250</v>
      </c>
    </row>
    <row r="125" spans="1:15">
      <c r="A125" s="679">
        <f>Sponsor!A129</f>
        <v>60270</v>
      </c>
      <c r="B125" s="117"/>
      <c r="C125" s="102" t="str">
        <f>Sponsor!C129</f>
        <v>Greater than $25K</v>
      </c>
      <c r="D125" s="125">
        <f>Sponsor!G129</f>
        <v>0</v>
      </c>
      <c r="E125" s="895"/>
      <c r="F125" s="896"/>
      <c r="G125" s="896"/>
      <c r="H125" s="896"/>
      <c r="I125" s="897"/>
      <c r="J125" s="673">
        <f>J123-J124</f>
        <v>0</v>
      </c>
      <c r="K125" s="673">
        <f t="shared" si="40"/>
        <v>0</v>
      </c>
      <c r="L125" s="958"/>
      <c r="M125" s="959"/>
      <c r="N125" s="169">
        <f>K125</f>
        <v>0</v>
      </c>
      <c r="O125" s="303">
        <v>60270</v>
      </c>
    </row>
    <row r="126" spans="1:15">
      <c r="A126" s="156"/>
      <c r="B126" s="115" t="str">
        <f>Sponsor!B130</f>
        <v>02</v>
      </c>
      <c r="C126" s="677" t="str">
        <f>IF(Sponsor!C130="","",Sponsor!C130)</f>
        <v/>
      </c>
      <c r="D126" s="638">
        <f>Sponsor!G130</f>
        <v>0</v>
      </c>
      <c r="E126" s="692"/>
      <c r="F126" s="686"/>
      <c r="G126" s="686"/>
      <c r="H126" s="686"/>
      <c r="I126" s="686"/>
      <c r="J126" s="638">
        <f>SUM(E126:I126)</f>
        <v>0</v>
      </c>
      <c r="K126" s="638">
        <f t="shared" si="40"/>
        <v>0</v>
      </c>
      <c r="L126" s="686"/>
      <c r="M126" s="686"/>
      <c r="N126" s="167">
        <f>D126+J126+L126+M126</f>
        <v>0</v>
      </c>
      <c r="O126" s="304"/>
    </row>
    <row r="127" spans="1:15">
      <c r="A127" s="679">
        <f>Sponsor!A131</f>
        <v>60250</v>
      </c>
      <c r="B127" s="116"/>
      <c r="C127" s="102" t="str">
        <f>Sponsor!C131</f>
        <v>Less than $25K</v>
      </c>
      <c r="D127" s="124">
        <f>Sponsor!G131</f>
        <v>0</v>
      </c>
      <c r="E127" s="892" t="s">
        <v>679</v>
      </c>
      <c r="F127" s="893"/>
      <c r="G127" s="893"/>
      <c r="H127" s="893"/>
      <c r="I127" s="894"/>
      <c r="J127" s="673">
        <f>UMYr1!AC123</f>
        <v>0</v>
      </c>
      <c r="K127" s="673">
        <f t="shared" si="40"/>
        <v>0</v>
      </c>
      <c r="L127" s="892" t="s">
        <v>679</v>
      </c>
      <c r="M127" s="957"/>
      <c r="N127" s="168">
        <f>K127</f>
        <v>0</v>
      </c>
      <c r="O127" s="303">
        <v>60250</v>
      </c>
    </row>
    <row r="128" spans="1:15">
      <c r="A128" s="679">
        <f>Sponsor!A132</f>
        <v>60270</v>
      </c>
      <c r="B128" s="117"/>
      <c r="C128" s="102" t="str">
        <f>Sponsor!C132</f>
        <v>Greater than $25K</v>
      </c>
      <c r="D128" s="125">
        <f>Sponsor!G132</f>
        <v>0</v>
      </c>
      <c r="E128" s="895"/>
      <c r="F128" s="896"/>
      <c r="G128" s="896"/>
      <c r="H128" s="896"/>
      <c r="I128" s="897"/>
      <c r="J128" s="673">
        <f>J126-J127</f>
        <v>0</v>
      </c>
      <c r="K128" s="673">
        <f t="shared" si="40"/>
        <v>0</v>
      </c>
      <c r="L128" s="958"/>
      <c r="M128" s="959"/>
      <c r="N128" s="169">
        <f>K128</f>
        <v>0</v>
      </c>
      <c r="O128" s="303">
        <v>60270</v>
      </c>
    </row>
    <row r="129" spans="1:15">
      <c r="A129" s="156"/>
      <c r="B129" s="115" t="str">
        <f>Sponsor!B133</f>
        <v>03</v>
      </c>
      <c r="C129" s="677" t="str">
        <f>IF(Sponsor!C133="","",Sponsor!C133)</f>
        <v/>
      </c>
      <c r="D129" s="638">
        <f>Sponsor!G133</f>
        <v>0</v>
      </c>
      <c r="E129" s="692"/>
      <c r="F129" s="686"/>
      <c r="G129" s="686"/>
      <c r="H129" s="686"/>
      <c r="I129" s="686"/>
      <c r="J129" s="638">
        <f>SUM(E129:I129)</f>
        <v>0</v>
      </c>
      <c r="K129" s="638">
        <f t="shared" si="40"/>
        <v>0</v>
      </c>
      <c r="L129" s="686"/>
      <c r="M129" s="686"/>
      <c r="N129" s="167">
        <f>D129+J129+L129+M129</f>
        <v>0</v>
      </c>
      <c r="O129" s="304"/>
    </row>
    <row r="130" spans="1:15">
      <c r="A130" s="679">
        <f>Sponsor!A134</f>
        <v>60250</v>
      </c>
      <c r="B130" s="116"/>
      <c r="C130" s="102" t="str">
        <f>Sponsor!C134</f>
        <v>Less than $25K</v>
      </c>
      <c r="D130" s="124">
        <f>Sponsor!G134</f>
        <v>0</v>
      </c>
      <c r="E130" s="892" t="s">
        <v>679</v>
      </c>
      <c r="F130" s="893"/>
      <c r="G130" s="893"/>
      <c r="H130" s="893"/>
      <c r="I130" s="894"/>
      <c r="J130" s="673">
        <f>UMYr1!AC124</f>
        <v>0</v>
      </c>
      <c r="K130" s="673">
        <f t="shared" si="40"/>
        <v>0</v>
      </c>
      <c r="L130" s="892" t="s">
        <v>679</v>
      </c>
      <c r="M130" s="957"/>
      <c r="N130" s="168">
        <f>K130</f>
        <v>0</v>
      </c>
      <c r="O130" s="303">
        <v>60250</v>
      </c>
    </row>
    <row r="131" spans="1:15">
      <c r="A131" s="679">
        <f>Sponsor!A135</f>
        <v>60270</v>
      </c>
      <c r="B131" s="117"/>
      <c r="C131" s="102" t="str">
        <f>Sponsor!C135</f>
        <v>Greater than $25K</v>
      </c>
      <c r="D131" s="125">
        <f>Sponsor!G135</f>
        <v>0</v>
      </c>
      <c r="E131" s="895"/>
      <c r="F131" s="896"/>
      <c r="G131" s="896"/>
      <c r="H131" s="896"/>
      <c r="I131" s="897"/>
      <c r="J131" s="673">
        <f>J129-J130</f>
        <v>0</v>
      </c>
      <c r="K131" s="673">
        <f t="shared" si="40"/>
        <v>0</v>
      </c>
      <c r="L131" s="958"/>
      <c r="M131" s="959"/>
      <c r="N131" s="169">
        <f>K131</f>
        <v>0</v>
      </c>
      <c r="O131" s="303">
        <v>60270</v>
      </c>
    </row>
    <row r="132" spans="1:15">
      <c r="A132" s="156"/>
      <c r="B132" s="115" t="str">
        <f>Sponsor!B136</f>
        <v>04</v>
      </c>
      <c r="C132" s="677" t="str">
        <f>IF(Sponsor!C136="","",Sponsor!C136)</f>
        <v/>
      </c>
      <c r="D132" s="638">
        <f>Sponsor!G136</f>
        <v>0</v>
      </c>
      <c r="E132" s="692"/>
      <c r="F132" s="686"/>
      <c r="G132" s="686"/>
      <c r="H132" s="686"/>
      <c r="I132" s="686"/>
      <c r="J132" s="638">
        <f>SUM(E132:I132)</f>
        <v>0</v>
      </c>
      <c r="K132" s="638">
        <f t="shared" si="40"/>
        <v>0</v>
      </c>
      <c r="L132" s="686"/>
      <c r="M132" s="686"/>
      <c r="N132" s="167">
        <f>D132+J132+L132+M132</f>
        <v>0</v>
      </c>
      <c r="O132" s="304"/>
    </row>
    <row r="133" spans="1:15">
      <c r="A133" s="679">
        <f>Sponsor!A137</f>
        <v>60250</v>
      </c>
      <c r="B133" s="116"/>
      <c r="C133" s="102" t="str">
        <f>Sponsor!C137</f>
        <v>Less than $25K</v>
      </c>
      <c r="D133" s="124">
        <f>Sponsor!G137</f>
        <v>0</v>
      </c>
      <c r="E133" s="892" t="s">
        <v>679</v>
      </c>
      <c r="F133" s="893"/>
      <c r="G133" s="893"/>
      <c r="H133" s="893"/>
      <c r="I133" s="894"/>
      <c r="J133" s="673">
        <f>UMYr1!AC125</f>
        <v>0</v>
      </c>
      <c r="K133" s="673">
        <f t="shared" si="40"/>
        <v>0</v>
      </c>
      <c r="L133" s="892" t="s">
        <v>679</v>
      </c>
      <c r="M133" s="957"/>
      <c r="N133" s="168">
        <f>K133</f>
        <v>0</v>
      </c>
      <c r="O133" s="303">
        <v>60250</v>
      </c>
    </row>
    <row r="134" spans="1:15">
      <c r="A134" s="679">
        <f>Sponsor!A138</f>
        <v>60270</v>
      </c>
      <c r="B134" s="117"/>
      <c r="C134" s="102" t="str">
        <f>Sponsor!C138</f>
        <v>Greater than $25K</v>
      </c>
      <c r="D134" s="125">
        <f>Sponsor!G138</f>
        <v>0</v>
      </c>
      <c r="E134" s="895"/>
      <c r="F134" s="896"/>
      <c r="G134" s="896"/>
      <c r="H134" s="896"/>
      <c r="I134" s="897"/>
      <c r="J134" s="673">
        <f>J132-J133</f>
        <v>0</v>
      </c>
      <c r="K134" s="673">
        <f t="shared" si="40"/>
        <v>0</v>
      </c>
      <c r="L134" s="958"/>
      <c r="M134" s="959"/>
      <c r="N134" s="169">
        <f>K134</f>
        <v>0</v>
      </c>
      <c r="O134" s="303">
        <v>60270</v>
      </c>
    </row>
    <row r="135" spans="1:15">
      <c r="A135" s="156"/>
      <c r="B135" s="115" t="str">
        <f>Sponsor!B139</f>
        <v>05</v>
      </c>
      <c r="C135" s="677" t="str">
        <f>IF(Sponsor!C139="","",Sponsor!C139)</f>
        <v/>
      </c>
      <c r="D135" s="638">
        <f>Sponsor!G139</f>
        <v>0</v>
      </c>
      <c r="E135" s="692"/>
      <c r="F135" s="686"/>
      <c r="G135" s="686"/>
      <c r="H135" s="686"/>
      <c r="I135" s="686"/>
      <c r="J135" s="638">
        <f>SUM(E135:I135)</f>
        <v>0</v>
      </c>
      <c r="K135" s="638">
        <f t="shared" si="40"/>
        <v>0</v>
      </c>
      <c r="L135" s="686"/>
      <c r="M135" s="686"/>
      <c r="N135" s="167">
        <f>D135+J135+L135+M135</f>
        <v>0</v>
      </c>
      <c r="O135" s="304"/>
    </row>
    <row r="136" spans="1:15">
      <c r="A136" s="679">
        <f>Sponsor!A140</f>
        <v>60250</v>
      </c>
      <c r="B136" s="116"/>
      <c r="C136" s="102" t="str">
        <f>Sponsor!C140</f>
        <v>Less than $25K</v>
      </c>
      <c r="D136" s="124">
        <f>Sponsor!G140</f>
        <v>0</v>
      </c>
      <c r="E136" s="892" t="s">
        <v>679</v>
      </c>
      <c r="F136" s="893"/>
      <c r="G136" s="893"/>
      <c r="H136" s="893"/>
      <c r="I136" s="894"/>
      <c r="J136" s="673">
        <f>UMYr1!AC126</f>
        <v>0</v>
      </c>
      <c r="K136" s="673">
        <f t="shared" si="40"/>
        <v>0</v>
      </c>
      <c r="L136" s="892" t="s">
        <v>679</v>
      </c>
      <c r="M136" s="957"/>
      <c r="N136" s="168">
        <f>K136</f>
        <v>0</v>
      </c>
      <c r="O136" s="303">
        <v>60250</v>
      </c>
    </row>
    <row r="137" spans="1:15">
      <c r="A137" s="679">
        <f>Sponsor!A141</f>
        <v>60270</v>
      </c>
      <c r="B137" s="117"/>
      <c r="C137" s="102" t="str">
        <f>Sponsor!C141</f>
        <v>Greater than $25K</v>
      </c>
      <c r="D137" s="125">
        <f>Sponsor!G141</f>
        <v>0</v>
      </c>
      <c r="E137" s="895"/>
      <c r="F137" s="896"/>
      <c r="G137" s="896"/>
      <c r="H137" s="896"/>
      <c r="I137" s="897"/>
      <c r="J137" s="673">
        <f>J135-J136</f>
        <v>0</v>
      </c>
      <c r="K137" s="673">
        <f t="shared" si="40"/>
        <v>0</v>
      </c>
      <c r="L137" s="958"/>
      <c r="M137" s="959"/>
      <c r="N137" s="169">
        <f>K137</f>
        <v>0</v>
      </c>
      <c r="O137" s="303">
        <v>60270</v>
      </c>
    </row>
    <row r="138" spans="1:15">
      <c r="A138" s="156"/>
      <c r="B138" s="115" t="str">
        <f>Sponsor!B142</f>
        <v>06</v>
      </c>
      <c r="C138" s="677" t="str">
        <f>IF(Sponsor!C142="","",Sponsor!C142)</f>
        <v/>
      </c>
      <c r="D138" s="638">
        <f>Sponsor!G142</f>
        <v>0</v>
      </c>
      <c r="E138" s="692"/>
      <c r="F138" s="686"/>
      <c r="G138" s="686"/>
      <c r="H138" s="686"/>
      <c r="I138" s="686"/>
      <c r="J138" s="638">
        <f>SUM(E138:I138)</f>
        <v>0</v>
      </c>
      <c r="K138" s="638">
        <f t="shared" si="40"/>
        <v>0</v>
      </c>
      <c r="L138" s="686"/>
      <c r="M138" s="686"/>
      <c r="N138" s="167">
        <f>D138+J138+L138+M138</f>
        <v>0</v>
      </c>
      <c r="O138" s="304"/>
    </row>
    <row r="139" spans="1:15">
      <c r="A139" s="679">
        <f>Sponsor!A143</f>
        <v>60250</v>
      </c>
      <c r="B139" s="116"/>
      <c r="C139" s="102" t="str">
        <f>Sponsor!C143</f>
        <v>Less than $25K</v>
      </c>
      <c r="D139" s="124">
        <f>Sponsor!G143</f>
        <v>0</v>
      </c>
      <c r="E139" s="892" t="s">
        <v>679</v>
      </c>
      <c r="F139" s="893"/>
      <c r="G139" s="893"/>
      <c r="H139" s="893"/>
      <c r="I139" s="894"/>
      <c r="J139" s="673">
        <f>UMYr1!AC127</f>
        <v>0</v>
      </c>
      <c r="K139" s="673">
        <f t="shared" si="40"/>
        <v>0</v>
      </c>
      <c r="L139" s="892" t="s">
        <v>679</v>
      </c>
      <c r="M139" s="957"/>
      <c r="N139" s="168">
        <f>K139</f>
        <v>0</v>
      </c>
      <c r="O139" s="303">
        <v>60250</v>
      </c>
    </row>
    <row r="140" spans="1:15">
      <c r="A140" s="679">
        <f>Sponsor!A144</f>
        <v>60270</v>
      </c>
      <c r="B140" s="117"/>
      <c r="C140" s="102" t="str">
        <f>Sponsor!C144</f>
        <v>Greater than $25K</v>
      </c>
      <c r="D140" s="125">
        <f>Sponsor!G144</f>
        <v>0</v>
      </c>
      <c r="E140" s="895"/>
      <c r="F140" s="896"/>
      <c r="G140" s="896"/>
      <c r="H140" s="896"/>
      <c r="I140" s="897"/>
      <c r="J140" s="673">
        <f>J138-J139</f>
        <v>0</v>
      </c>
      <c r="K140" s="673">
        <f t="shared" si="40"/>
        <v>0</v>
      </c>
      <c r="L140" s="958"/>
      <c r="M140" s="959"/>
      <c r="N140" s="169">
        <f>K140</f>
        <v>0</v>
      </c>
      <c r="O140" s="303">
        <v>60270</v>
      </c>
    </row>
    <row r="141" spans="1:15">
      <c r="A141" s="156"/>
      <c r="B141" s="115" t="str">
        <f>Sponsor!B145</f>
        <v>07</v>
      </c>
      <c r="C141" s="677" t="str">
        <f>IF(Sponsor!C145="","",Sponsor!C145)</f>
        <v/>
      </c>
      <c r="D141" s="638">
        <f>Sponsor!G145</f>
        <v>0</v>
      </c>
      <c r="E141" s="692"/>
      <c r="F141" s="686"/>
      <c r="G141" s="686"/>
      <c r="H141" s="686"/>
      <c r="I141" s="686"/>
      <c r="J141" s="638">
        <f>SUM(E141:I141)</f>
        <v>0</v>
      </c>
      <c r="K141" s="638">
        <f t="shared" si="40"/>
        <v>0</v>
      </c>
      <c r="L141" s="686"/>
      <c r="M141" s="686"/>
      <c r="N141" s="167">
        <f>D141+J141+L141+M141</f>
        <v>0</v>
      </c>
      <c r="O141" s="304"/>
    </row>
    <row r="142" spans="1:15">
      <c r="A142" s="679">
        <f>Sponsor!A146</f>
        <v>60250</v>
      </c>
      <c r="B142" s="116"/>
      <c r="C142" s="102" t="str">
        <f>Sponsor!C146</f>
        <v>Less than $25K</v>
      </c>
      <c r="D142" s="124">
        <f>Sponsor!G146</f>
        <v>0</v>
      </c>
      <c r="E142" s="892" t="s">
        <v>679</v>
      </c>
      <c r="F142" s="893"/>
      <c r="G142" s="893"/>
      <c r="H142" s="893"/>
      <c r="I142" s="894"/>
      <c r="J142" s="673">
        <f>UMYr1!AC128</f>
        <v>0</v>
      </c>
      <c r="K142" s="673">
        <f t="shared" si="40"/>
        <v>0</v>
      </c>
      <c r="L142" s="892" t="s">
        <v>679</v>
      </c>
      <c r="M142" s="957"/>
      <c r="N142" s="168">
        <f>K142</f>
        <v>0</v>
      </c>
      <c r="O142" s="303">
        <v>60250</v>
      </c>
    </row>
    <row r="143" spans="1:15">
      <c r="A143" s="679">
        <f>Sponsor!A147</f>
        <v>60270</v>
      </c>
      <c r="B143" s="117"/>
      <c r="C143" s="102" t="str">
        <f>Sponsor!C147</f>
        <v>Greater than $25K</v>
      </c>
      <c r="D143" s="125">
        <f>Sponsor!G147</f>
        <v>0</v>
      </c>
      <c r="E143" s="895"/>
      <c r="F143" s="896"/>
      <c r="G143" s="896"/>
      <c r="H143" s="896"/>
      <c r="I143" s="897"/>
      <c r="J143" s="673">
        <f>J141-J142</f>
        <v>0</v>
      </c>
      <c r="K143" s="673">
        <f t="shared" si="40"/>
        <v>0</v>
      </c>
      <c r="L143" s="958"/>
      <c r="M143" s="959"/>
      <c r="N143" s="169">
        <f>K143</f>
        <v>0</v>
      </c>
      <c r="O143" s="303">
        <v>60270</v>
      </c>
    </row>
    <row r="144" spans="1:15">
      <c r="A144" s="156"/>
      <c r="B144" s="115" t="str">
        <f>Sponsor!B148</f>
        <v>08</v>
      </c>
      <c r="C144" s="677" t="str">
        <f>IF(Sponsor!C148="","",Sponsor!C148)</f>
        <v/>
      </c>
      <c r="D144" s="638">
        <f>Sponsor!G148</f>
        <v>0</v>
      </c>
      <c r="E144" s="692"/>
      <c r="F144" s="686"/>
      <c r="G144" s="686"/>
      <c r="H144" s="686"/>
      <c r="I144" s="686"/>
      <c r="J144" s="638">
        <f>SUM(E144:I144)</f>
        <v>0</v>
      </c>
      <c r="K144" s="638">
        <f t="shared" si="40"/>
        <v>0</v>
      </c>
      <c r="L144" s="686"/>
      <c r="M144" s="686"/>
      <c r="N144" s="167">
        <f>D144+J144+L144+M144</f>
        <v>0</v>
      </c>
      <c r="O144" s="304"/>
    </row>
    <row r="145" spans="1:15">
      <c r="A145" s="679">
        <f>Sponsor!A149</f>
        <v>60250</v>
      </c>
      <c r="B145" s="116"/>
      <c r="C145" s="102" t="str">
        <f>Sponsor!C149</f>
        <v>Less than $25K</v>
      </c>
      <c r="D145" s="126">
        <f>Sponsor!G149</f>
        <v>0</v>
      </c>
      <c r="E145" s="892" t="s">
        <v>679</v>
      </c>
      <c r="F145" s="893"/>
      <c r="G145" s="893"/>
      <c r="H145" s="893"/>
      <c r="I145" s="894"/>
      <c r="J145" s="673">
        <f>UMYr1!AC129</f>
        <v>0</v>
      </c>
      <c r="K145" s="673">
        <f t="shared" si="40"/>
        <v>0</v>
      </c>
      <c r="L145" s="892" t="s">
        <v>679</v>
      </c>
      <c r="M145" s="957"/>
      <c r="N145" s="168">
        <f>K145</f>
        <v>0</v>
      </c>
      <c r="O145" s="303">
        <v>60250</v>
      </c>
    </row>
    <row r="146" spans="1:15">
      <c r="A146" s="679">
        <f>Sponsor!A150</f>
        <v>60270</v>
      </c>
      <c r="B146" s="117"/>
      <c r="C146" s="102" t="str">
        <f>Sponsor!C150</f>
        <v>Greater than $25K</v>
      </c>
      <c r="D146" s="127">
        <f>Sponsor!G150</f>
        <v>0</v>
      </c>
      <c r="E146" s="895"/>
      <c r="F146" s="896"/>
      <c r="G146" s="896"/>
      <c r="H146" s="896"/>
      <c r="I146" s="897"/>
      <c r="J146" s="673">
        <f>J144-J145</f>
        <v>0</v>
      </c>
      <c r="K146" s="673">
        <f t="shared" si="40"/>
        <v>0</v>
      </c>
      <c r="L146" s="958"/>
      <c r="M146" s="959"/>
      <c r="N146" s="169">
        <f>K146</f>
        <v>0</v>
      </c>
      <c r="O146" s="303">
        <v>60270</v>
      </c>
    </row>
    <row r="147" spans="1:15">
      <c r="A147" s="156"/>
      <c r="B147" s="115" t="str">
        <f>Sponsor!B151</f>
        <v>09</v>
      </c>
      <c r="C147" s="677" t="str">
        <f>IF(Sponsor!C151="","",Sponsor!C151)</f>
        <v/>
      </c>
      <c r="D147" s="638">
        <f>Sponsor!G151</f>
        <v>0</v>
      </c>
      <c r="E147" s="692"/>
      <c r="F147" s="686"/>
      <c r="G147" s="686"/>
      <c r="H147" s="686"/>
      <c r="I147" s="686"/>
      <c r="J147" s="638">
        <f>SUM(E147:I147)</f>
        <v>0</v>
      </c>
      <c r="K147" s="638">
        <f t="shared" si="40"/>
        <v>0</v>
      </c>
      <c r="L147" s="686"/>
      <c r="M147" s="686"/>
      <c r="N147" s="167">
        <f>D147+J147+L147+M147</f>
        <v>0</v>
      </c>
      <c r="O147" s="304"/>
    </row>
    <row r="148" spans="1:15">
      <c r="A148" s="679">
        <f>Sponsor!A152</f>
        <v>60250</v>
      </c>
      <c r="B148" s="116"/>
      <c r="C148" s="102" t="str">
        <f>Sponsor!C152</f>
        <v>Less than $25K</v>
      </c>
      <c r="D148" s="126">
        <f>Sponsor!G152</f>
        <v>0</v>
      </c>
      <c r="E148" s="892" t="s">
        <v>679</v>
      </c>
      <c r="F148" s="893"/>
      <c r="G148" s="893"/>
      <c r="H148" s="893"/>
      <c r="I148" s="894"/>
      <c r="J148" s="673">
        <f>UMYr1!AC130</f>
        <v>0</v>
      </c>
      <c r="K148" s="673">
        <f t="shared" si="40"/>
        <v>0</v>
      </c>
      <c r="L148" s="892" t="s">
        <v>679</v>
      </c>
      <c r="M148" s="957"/>
      <c r="N148" s="168">
        <f>K148</f>
        <v>0</v>
      </c>
      <c r="O148" s="303">
        <v>60250</v>
      </c>
    </row>
    <row r="149" spans="1:15">
      <c r="A149" s="679">
        <f>Sponsor!A153</f>
        <v>60270</v>
      </c>
      <c r="B149" s="117"/>
      <c r="C149" s="102" t="str">
        <f>Sponsor!C153</f>
        <v>Greater than $25K</v>
      </c>
      <c r="D149" s="127">
        <f>Sponsor!G153</f>
        <v>0</v>
      </c>
      <c r="E149" s="895"/>
      <c r="F149" s="896"/>
      <c r="G149" s="896"/>
      <c r="H149" s="896"/>
      <c r="I149" s="897"/>
      <c r="J149" s="673">
        <f>J147-J148</f>
        <v>0</v>
      </c>
      <c r="K149" s="673">
        <f t="shared" si="40"/>
        <v>0</v>
      </c>
      <c r="L149" s="958"/>
      <c r="M149" s="959"/>
      <c r="N149" s="169">
        <f>K149</f>
        <v>0</v>
      </c>
      <c r="O149" s="303">
        <v>60270</v>
      </c>
    </row>
    <row r="150" spans="1:15">
      <c r="A150" s="156"/>
      <c r="B150" s="115">
        <f>Sponsor!B154</f>
        <v>10</v>
      </c>
      <c r="C150" s="677" t="str">
        <f>IF(Sponsor!C154="","",Sponsor!C154)</f>
        <v/>
      </c>
      <c r="D150" s="638">
        <f>Sponsor!G154</f>
        <v>0</v>
      </c>
      <c r="E150" s="692"/>
      <c r="F150" s="686"/>
      <c r="G150" s="686"/>
      <c r="H150" s="686"/>
      <c r="I150" s="686"/>
      <c r="J150" s="638">
        <f>SUM(E150:I150)</f>
        <v>0</v>
      </c>
      <c r="K150" s="638">
        <f t="shared" si="40"/>
        <v>0</v>
      </c>
      <c r="L150" s="686"/>
      <c r="M150" s="686"/>
      <c r="N150" s="167">
        <f>D150+J150+L150+M150</f>
        <v>0</v>
      </c>
      <c r="O150" s="304"/>
    </row>
    <row r="151" spans="1:15">
      <c r="A151" s="679">
        <f>Sponsor!A155</f>
        <v>60250</v>
      </c>
      <c r="B151" s="116"/>
      <c r="C151" s="102" t="str">
        <f>Sponsor!C155</f>
        <v>Less than $25K</v>
      </c>
      <c r="D151" s="126">
        <f>Sponsor!G155</f>
        <v>0</v>
      </c>
      <c r="E151" s="892" t="s">
        <v>679</v>
      </c>
      <c r="F151" s="893"/>
      <c r="G151" s="893"/>
      <c r="H151" s="893"/>
      <c r="I151" s="894"/>
      <c r="J151" s="673">
        <f>UMYr1!AC131</f>
        <v>0</v>
      </c>
      <c r="K151" s="673">
        <f t="shared" si="40"/>
        <v>0</v>
      </c>
      <c r="L151" s="892" t="s">
        <v>679</v>
      </c>
      <c r="M151" s="957"/>
      <c r="N151" s="168">
        <f>K151</f>
        <v>0</v>
      </c>
      <c r="O151" s="303">
        <v>60250</v>
      </c>
    </row>
    <row r="152" spans="1:15">
      <c r="A152" s="679">
        <f>Sponsor!A156</f>
        <v>60270</v>
      </c>
      <c r="B152" s="116"/>
      <c r="C152" s="102" t="str">
        <f>Sponsor!C156</f>
        <v>Greater than $25K</v>
      </c>
      <c r="D152" s="127">
        <f>Sponsor!G156</f>
        <v>0</v>
      </c>
      <c r="E152" s="895"/>
      <c r="F152" s="896"/>
      <c r="G152" s="896"/>
      <c r="H152" s="896"/>
      <c r="I152" s="897"/>
      <c r="J152" s="673">
        <f>J150-J151</f>
        <v>0</v>
      </c>
      <c r="K152" s="673">
        <f t="shared" si="40"/>
        <v>0</v>
      </c>
      <c r="L152" s="958"/>
      <c r="M152" s="959"/>
      <c r="N152" s="169">
        <f>K152</f>
        <v>0</v>
      </c>
      <c r="O152" s="303">
        <v>60270</v>
      </c>
    </row>
    <row r="153" spans="1:15">
      <c r="A153" s="156"/>
      <c r="B153" s="115">
        <f>Sponsor!B157</f>
        <v>11</v>
      </c>
      <c r="C153" s="677" t="str">
        <f>IF(Sponsor!C157="","",Sponsor!C157)</f>
        <v/>
      </c>
      <c r="D153" s="638">
        <f>Sponsor!G157</f>
        <v>0</v>
      </c>
      <c r="E153" s="692"/>
      <c r="F153" s="686"/>
      <c r="G153" s="686"/>
      <c r="H153" s="686"/>
      <c r="I153" s="686"/>
      <c r="J153" s="638">
        <f>SUM(E153:I153)</f>
        <v>0</v>
      </c>
      <c r="K153" s="638">
        <f t="shared" si="40"/>
        <v>0</v>
      </c>
      <c r="L153" s="686"/>
      <c r="M153" s="686"/>
      <c r="N153" s="167">
        <f>D153+J153+L153+M153</f>
        <v>0</v>
      </c>
      <c r="O153" s="304"/>
    </row>
    <row r="154" spans="1:15">
      <c r="A154" s="679">
        <f>Sponsor!A158</f>
        <v>60250</v>
      </c>
      <c r="B154" s="116"/>
      <c r="C154" s="102" t="str">
        <f>Sponsor!C158</f>
        <v>Less than $25K</v>
      </c>
      <c r="D154" s="126">
        <f>Sponsor!G158</f>
        <v>0</v>
      </c>
      <c r="E154" s="892" t="s">
        <v>679</v>
      </c>
      <c r="F154" s="893"/>
      <c r="G154" s="893"/>
      <c r="H154" s="893"/>
      <c r="I154" s="894"/>
      <c r="J154" s="673">
        <f>UMYr1!AC132</f>
        <v>0</v>
      </c>
      <c r="K154" s="673">
        <f t="shared" si="40"/>
        <v>0</v>
      </c>
      <c r="L154" s="892" t="s">
        <v>679</v>
      </c>
      <c r="M154" s="957"/>
      <c r="N154" s="168">
        <f>K154</f>
        <v>0</v>
      </c>
      <c r="O154" s="303">
        <v>60250</v>
      </c>
    </row>
    <row r="155" spans="1:15">
      <c r="A155" s="679">
        <f>Sponsor!A159</f>
        <v>60270</v>
      </c>
      <c r="B155" s="116"/>
      <c r="C155" s="102" t="str">
        <f>Sponsor!C159</f>
        <v>Greater than $25K</v>
      </c>
      <c r="D155" s="127">
        <f>Sponsor!G159</f>
        <v>0</v>
      </c>
      <c r="E155" s="895"/>
      <c r="F155" s="896"/>
      <c r="G155" s="896"/>
      <c r="H155" s="896"/>
      <c r="I155" s="897"/>
      <c r="J155" s="673">
        <f>J153-J154</f>
        <v>0</v>
      </c>
      <c r="K155" s="673">
        <f t="shared" si="40"/>
        <v>0</v>
      </c>
      <c r="L155" s="958"/>
      <c r="M155" s="959"/>
      <c r="N155" s="169">
        <f>K155</f>
        <v>0</v>
      </c>
      <c r="O155" s="303">
        <v>60270</v>
      </c>
    </row>
    <row r="156" spans="1:15">
      <c r="A156" s="156"/>
      <c r="B156" s="115">
        <f>Sponsor!B160</f>
        <v>12</v>
      </c>
      <c r="C156" s="677" t="str">
        <f>IF(Sponsor!C160="","",Sponsor!C160)</f>
        <v/>
      </c>
      <c r="D156" s="638">
        <f>Sponsor!G160</f>
        <v>0</v>
      </c>
      <c r="E156" s="692"/>
      <c r="F156" s="686"/>
      <c r="G156" s="686"/>
      <c r="H156" s="686"/>
      <c r="I156" s="686"/>
      <c r="J156" s="638">
        <f>SUM(E156:I156)</f>
        <v>0</v>
      </c>
      <c r="K156" s="638">
        <f t="shared" si="40"/>
        <v>0</v>
      </c>
      <c r="L156" s="686"/>
      <c r="M156" s="686"/>
      <c r="N156" s="167">
        <f>D156+J156+L156+M156</f>
        <v>0</v>
      </c>
      <c r="O156" s="304"/>
    </row>
    <row r="157" spans="1:15">
      <c r="A157" s="679">
        <f>Sponsor!A161</f>
        <v>60250</v>
      </c>
      <c r="B157" s="116"/>
      <c r="C157" s="102" t="str">
        <f>Sponsor!C161</f>
        <v>Less than $25K</v>
      </c>
      <c r="D157" s="126">
        <f>Sponsor!G161</f>
        <v>0</v>
      </c>
      <c r="E157" s="892" t="s">
        <v>679</v>
      </c>
      <c r="F157" s="893"/>
      <c r="G157" s="893"/>
      <c r="H157" s="893"/>
      <c r="I157" s="894"/>
      <c r="J157" s="673">
        <f>UMYr1!AC1333</f>
        <v>0</v>
      </c>
      <c r="K157" s="673">
        <f t="shared" si="40"/>
        <v>0</v>
      </c>
      <c r="L157" s="892" t="s">
        <v>679</v>
      </c>
      <c r="M157" s="957"/>
      <c r="N157" s="168">
        <f>K157</f>
        <v>0</v>
      </c>
      <c r="O157" s="303">
        <v>60250</v>
      </c>
    </row>
    <row r="158" spans="1:15">
      <c r="A158" s="679">
        <f>Sponsor!A162</f>
        <v>60270</v>
      </c>
      <c r="B158" s="116"/>
      <c r="C158" s="102" t="str">
        <f>Sponsor!C162</f>
        <v>Greater than $25K</v>
      </c>
      <c r="D158" s="127">
        <f>Sponsor!G162</f>
        <v>0</v>
      </c>
      <c r="E158" s="895"/>
      <c r="F158" s="896"/>
      <c r="G158" s="896"/>
      <c r="H158" s="896"/>
      <c r="I158" s="897"/>
      <c r="J158" s="673">
        <f>J156-J157</f>
        <v>0</v>
      </c>
      <c r="K158" s="673">
        <f t="shared" si="40"/>
        <v>0</v>
      </c>
      <c r="L158" s="958"/>
      <c r="M158" s="959"/>
      <c r="N158" s="169">
        <f>K158</f>
        <v>0</v>
      </c>
      <c r="O158" s="303">
        <v>60270</v>
      </c>
    </row>
    <row r="159" spans="1:15">
      <c r="A159" s="156"/>
      <c r="B159" s="115">
        <f>Sponsor!B163</f>
        <v>13</v>
      </c>
      <c r="C159" s="677" t="str">
        <f>IF(Sponsor!C163="","",Sponsor!C163)</f>
        <v/>
      </c>
      <c r="D159" s="638">
        <f>Sponsor!G163</f>
        <v>0</v>
      </c>
      <c r="E159" s="692"/>
      <c r="F159" s="686"/>
      <c r="G159" s="686"/>
      <c r="H159" s="686"/>
      <c r="I159" s="686"/>
      <c r="J159" s="638">
        <f>SUM(E159:I159)</f>
        <v>0</v>
      </c>
      <c r="K159" s="638">
        <f t="shared" si="40"/>
        <v>0</v>
      </c>
      <c r="L159" s="686"/>
      <c r="M159" s="686"/>
      <c r="N159" s="167">
        <f>D159+J159+L159+M159</f>
        <v>0</v>
      </c>
      <c r="O159" s="304"/>
    </row>
    <row r="160" spans="1:15">
      <c r="A160" s="679">
        <f>Sponsor!A164</f>
        <v>60250</v>
      </c>
      <c r="B160" s="116"/>
      <c r="C160" s="102" t="str">
        <f>Sponsor!C164</f>
        <v>Less than $25K</v>
      </c>
      <c r="D160" s="126">
        <f>Sponsor!G164</f>
        <v>0</v>
      </c>
      <c r="E160" s="892" t="s">
        <v>679</v>
      </c>
      <c r="F160" s="893"/>
      <c r="G160" s="893"/>
      <c r="H160" s="893"/>
      <c r="I160" s="894"/>
      <c r="J160" s="673">
        <f>UMYr1!AC134</f>
        <v>0</v>
      </c>
      <c r="K160" s="673">
        <f t="shared" si="40"/>
        <v>0</v>
      </c>
      <c r="L160" s="892" t="s">
        <v>679</v>
      </c>
      <c r="M160" s="957"/>
      <c r="N160" s="168">
        <f>K160</f>
        <v>0</v>
      </c>
      <c r="O160" s="303">
        <v>60250</v>
      </c>
    </row>
    <row r="161" spans="1:15">
      <c r="A161" s="679">
        <f>Sponsor!A165</f>
        <v>60270</v>
      </c>
      <c r="B161" s="116"/>
      <c r="C161" s="102" t="str">
        <f>Sponsor!C165</f>
        <v>Greater than $25K</v>
      </c>
      <c r="D161" s="127">
        <f>Sponsor!G165</f>
        <v>0</v>
      </c>
      <c r="E161" s="895"/>
      <c r="F161" s="896"/>
      <c r="G161" s="896"/>
      <c r="H161" s="896"/>
      <c r="I161" s="897"/>
      <c r="J161" s="673">
        <f>J159-J160</f>
        <v>0</v>
      </c>
      <c r="K161" s="673">
        <f t="shared" si="40"/>
        <v>0</v>
      </c>
      <c r="L161" s="958"/>
      <c r="M161" s="959"/>
      <c r="N161" s="169">
        <f>K161</f>
        <v>0</v>
      </c>
      <c r="O161" s="303">
        <v>60270</v>
      </c>
    </row>
    <row r="162" spans="1:15">
      <c r="A162" s="156"/>
      <c r="B162" s="115">
        <f>Sponsor!B166</f>
        <v>14</v>
      </c>
      <c r="C162" s="677" t="str">
        <f>IF(Sponsor!C166="","",Sponsor!C166)</f>
        <v/>
      </c>
      <c r="D162" s="638">
        <f>Sponsor!G166</f>
        <v>0</v>
      </c>
      <c r="E162" s="692"/>
      <c r="F162" s="686"/>
      <c r="G162" s="686"/>
      <c r="H162" s="686"/>
      <c r="I162" s="686"/>
      <c r="J162" s="638">
        <f>SUM(E162:I162)</f>
        <v>0</v>
      </c>
      <c r="K162" s="638">
        <f t="shared" si="40"/>
        <v>0</v>
      </c>
      <c r="L162" s="686"/>
      <c r="M162" s="686"/>
      <c r="N162" s="167">
        <f>D162+J162+L162+M162</f>
        <v>0</v>
      </c>
      <c r="O162" s="304"/>
    </row>
    <row r="163" spans="1:15" s="256" customFormat="1">
      <c r="A163" s="679">
        <f>Sponsor!A167</f>
        <v>60250</v>
      </c>
      <c r="B163" s="116"/>
      <c r="C163" s="102" t="str">
        <f>Sponsor!C167</f>
        <v>Less than $25K</v>
      </c>
      <c r="D163" s="126">
        <f>Sponsor!G167</f>
        <v>0</v>
      </c>
      <c r="E163" s="892" t="s">
        <v>679</v>
      </c>
      <c r="F163" s="893"/>
      <c r="G163" s="893"/>
      <c r="H163" s="893"/>
      <c r="I163" s="894"/>
      <c r="J163" s="673">
        <f>UMYr1!AC1395</f>
        <v>0</v>
      </c>
      <c r="K163" s="673">
        <f t="shared" si="40"/>
        <v>0</v>
      </c>
      <c r="L163" s="892" t="s">
        <v>679</v>
      </c>
      <c r="M163" s="957"/>
      <c r="N163" s="168">
        <f>K163</f>
        <v>0</v>
      </c>
      <c r="O163" s="303">
        <v>60250</v>
      </c>
    </row>
    <row r="164" spans="1:15">
      <c r="A164" s="679">
        <f>Sponsor!A168</f>
        <v>60270</v>
      </c>
      <c r="B164" s="116"/>
      <c r="C164" s="102" t="str">
        <f>Sponsor!C168</f>
        <v>Greater than $25K</v>
      </c>
      <c r="D164" s="127">
        <f>Sponsor!G168</f>
        <v>0</v>
      </c>
      <c r="E164" s="895"/>
      <c r="F164" s="896"/>
      <c r="G164" s="896"/>
      <c r="H164" s="896"/>
      <c r="I164" s="897"/>
      <c r="J164" s="673">
        <f>J162-J163</f>
        <v>0</v>
      </c>
      <c r="K164" s="673">
        <f t="shared" si="40"/>
        <v>0</v>
      </c>
      <c r="L164" s="958"/>
      <c r="M164" s="959"/>
      <c r="N164" s="169">
        <f>K164</f>
        <v>0</v>
      </c>
      <c r="O164" s="303">
        <v>60270</v>
      </c>
    </row>
    <row r="165" spans="1:15">
      <c r="A165" s="156"/>
      <c r="B165" s="115">
        <f>Sponsor!B169</f>
        <v>15</v>
      </c>
      <c r="C165" s="677" t="str">
        <f>IF(Sponsor!C169="","",Sponsor!C169)</f>
        <v/>
      </c>
      <c r="D165" s="638">
        <f>Sponsor!G169</f>
        <v>0</v>
      </c>
      <c r="E165" s="692"/>
      <c r="F165" s="686"/>
      <c r="G165" s="686"/>
      <c r="H165" s="686"/>
      <c r="I165" s="686"/>
      <c r="J165" s="638">
        <f>SUM(E165:I165)</f>
        <v>0</v>
      </c>
      <c r="K165" s="638">
        <f t="shared" si="40"/>
        <v>0</v>
      </c>
      <c r="L165" s="686"/>
      <c r="M165" s="686"/>
      <c r="N165" s="167">
        <f>D165+J165+L165+M165</f>
        <v>0</v>
      </c>
      <c r="O165" s="304"/>
    </row>
    <row r="166" spans="1:15">
      <c r="A166" s="679">
        <f>Sponsor!A170</f>
        <v>60250</v>
      </c>
      <c r="B166" s="116"/>
      <c r="C166" s="102" t="str">
        <f>Sponsor!C170</f>
        <v>Less than $25K</v>
      </c>
      <c r="D166" s="126">
        <f>Sponsor!G170</f>
        <v>0</v>
      </c>
      <c r="E166" s="892" t="s">
        <v>679</v>
      </c>
      <c r="F166" s="893"/>
      <c r="G166" s="893"/>
      <c r="H166" s="893"/>
      <c r="I166" s="894"/>
      <c r="J166" s="673">
        <f>UMYr1!AC136</f>
        <v>0</v>
      </c>
      <c r="K166" s="673">
        <f t="shared" si="40"/>
        <v>0</v>
      </c>
      <c r="L166" s="892" t="s">
        <v>679</v>
      </c>
      <c r="M166" s="957"/>
      <c r="N166" s="168">
        <f>K166</f>
        <v>0</v>
      </c>
      <c r="O166" s="303">
        <v>60250</v>
      </c>
    </row>
    <row r="167" spans="1:15">
      <c r="A167" s="679">
        <f>Sponsor!A171</f>
        <v>60270</v>
      </c>
      <c r="B167" s="116"/>
      <c r="C167" s="102" t="str">
        <f>Sponsor!C171</f>
        <v>Greater than $25K</v>
      </c>
      <c r="D167" s="127">
        <f>Sponsor!G171</f>
        <v>0</v>
      </c>
      <c r="E167" s="895"/>
      <c r="F167" s="896"/>
      <c r="G167" s="896"/>
      <c r="H167" s="896"/>
      <c r="I167" s="897"/>
      <c r="J167" s="673">
        <f>J165-J166</f>
        <v>0</v>
      </c>
      <c r="K167" s="673">
        <f t="shared" si="40"/>
        <v>0</v>
      </c>
      <c r="L167" s="958"/>
      <c r="M167" s="959"/>
      <c r="N167" s="169">
        <f>K167</f>
        <v>0</v>
      </c>
      <c r="O167" s="303">
        <v>60270</v>
      </c>
    </row>
    <row r="168" spans="1:15">
      <c r="A168" s="156"/>
      <c r="B168" s="115">
        <f>Sponsor!B172</f>
        <v>16</v>
      </c>
      <c r="C168" s="677" t="str">
        <f>IF(Sponsor!C172="","",Sponsor!C172)</f>
        <v/>
      </c>
      <c r="D168" s="638">
        <f>Sponsor!G172</f>
        <v>0</v>
      </c>
      <c r="E168" s="692"/>
      <c r="F168" s="686"/>
      <c r="G168" s="686"/>
      <c r="H168" s="686"/>
      <c r="I168" s="686"/>
      <c r="J168" s="638">
        <f>SUM(E168:I168)</f>
        <v>0</v>
      </c>
      <c r="K168" s="638">
        <f t="shared" si="40"/>
        <v>0</v>
      </c>
      <c r="L168" s="686"/>
      <c r="M168" s="686"/>
      <c r="N168" s="167">
        <f>D168+J168+L168+M168</f>
        <v>0</v>
      </c>
      <c r="O168" s="304"/>
    </row>
    <row r="169" spans="1:15">
      <c r="A169" s="679">
        <f>Sponsor!A173</f>
        <v>60250</v>
      </c>
      <c r="B169" s="116"/>
      <c r="C169" s="102" t="str">
        <f>Sponsor!C173</f>
        <v>Less than $25K</v>
      </c>
      <c r="D169" s="126">
        <f>Sponsor!G173</f>
        <v>0</v>
      </c>
      <c r="E169" s="892" t="s">
        <v>679</v>
      </c>
      <c r="F169" s="893"/>
      <c r="G169" s="893"/>
      <c r="H169" s="893"/>
      <c r="I169" s="894"/>
      <c r="J169" s="673">
        <f>UMYr1!AC137</f>
        <v>0</v>
      </c>
      <c r="K169" s="673">
        <f t="shared" si="40"/>
        <v>0</v>
      </c>
      <c r="L169" s="892" t="s">
        <v>679</v>
      </c>
      <c r="M169" s="957"/>
      <c r="N169" s="168">
        <f>K169</f>
        <v>0</v>
      </c>
      <c r="O169" s="303">
        <v>60250</v>
      </c>
    </row>
    <row r="170" spans="1:15">
      <c r="A170" s="679">
        <f>Sponsor!A174</f>
        <v>60270</v>
      </c>
      <c r="B170" s="116"/>
      <c r="C170" s="102" t="str">
        <f>Sponsor!C174</f>
        <v>Greater than $25K</v>
      </c>
      <c r="D170" s="127">
        <f>Sponsor!G174</f>
        <v>0</v>
      </c>
      <c r="E170" s="895"/>
      <c r="F170" s="896"/>
      <c r="G170" s="896"/>
      <c r="H170" s="896"/>
      <c r="I170" s="897"/>
      <c r="J170" s="673">
        <f>J168-J169</f>
        <v>0</v>
      </c>
      <c r="K170" s="673">
        <f t="shared" si="40"/>
        <v>0</v>
      </c>
      <c r="L170" s="958"/>
      <c r="M170" s="959"/>
      <c r="N170" s="169">
        <f>K170</f>
        <v>0</v>
      </c>
      <c r="O170" s="303">
        <v>60270</v>
      </c>
    </row>
    <row r="171" spans="1:15">
      <c r="A171" s="156"/>
      <c r="B171" s="115">
        <f>Sponsor!B175</f>
        <v>17</v>
      </c>
      <c r="C171" s="677" t="str">
        <f>IF(Sponsor!C175="","",Sponsor!C175)</f>
        <v/>
      </c>
      <c r="D171" s="638">
        <f>Sponsor!G175</f>
        <v>0</v>
      </c>
      <c r="E171" s="692"/>
      <c r="F171" s="686"/>
      <c r="G171" s="686"/>
      <c r="H171" s="686"/>
      <c r="I171" s="686"/>
      <c r="J171" s="638">
        <f>SUM(E171:I171)</f>
        <v>0</v>
      </c>
      <c r="K171" s="638">
        <f t="shared" si="40"/>
        <v>0</v>
      </c>
      <c r="L171" s="686"/>
      <c r="M171" s="686"/>
      <c r="N171" s="167">
        <f>D171+J171+L171+M171</f>
        <v>0</v>
      </c>
      <c r="O171" s="304"/>
    </row>
    <row r="172" spans="1:15">
      <c r="A172" s="679">
        <f>Sponsor!A176</f>
        <v>60250</v>
      </c>
      <c r="B172" s="116"/>
      <c r="C172" s="102" t="str">
        <f>Sponsor!C176</f>
        <v>Less than $25K</v>
      </c>
      <c r="D172" s="126">
        <f>Sponsor!G176</f>
        <v>0</v>
      </c>
      <c r="E172" s="892" t="s">
        <v>679</v>
      </c>
      <c r="F172" s="893"/>
      <c r="G172" s="893"/>
      <c r="H172" s="893"/>
      <c r="I172" s="894"/>
      <c r="J172" s="673">
        <f>UMYr1!AC138</f>
        <v>0</v>
      </c>
      <c r="K172" s="673">
        <f t="shared" si="40"/>
        <v>0</v>
      </c>
      <c r="L172" s="892" t="s">
        <v>679</v>
      </c>
      <c r="M172" s="957"/>
      <c r="N172" s="168">
        <f>K172</f>
        <v>0</v>
      </c>
      <c r="O172" s="303">
        <v>60250</v>
      </c>
    </row>
    <row r="173" spans="1:15">
      <c r="A173" s="679">
        <f>Sponsor!A177</f>
        <v>60270</v>
      </c>
      <c r="B173" s="116"/>
      <c r="C173" s="102" t="str">
        <f>Sponsor!C177</f>
        <v>Greater than $25K</v>
      </c>
      <c r="D173" s="127">
        <f>Sponsor!G177</f>
        <v>0</v>
      </c>
      <c r="E173" s="895"/>
      <c r="F173" s="896"/>
      <c r="G173" s="896"/>
      <c r="H173" s="896"/>
      <c r="I173" s="897"/>
      <c r="J173" s="673">
        <f>J171-J172</f>
        <v>0</v>
      </c>
      <c r="K173" s="673">
        <f t="shared" si="40"/>
        <v>0</v>
      </c>
      <c r="L173" s="958"/>
      <c r="M173" s="959"/>
      <c r="N173" s="169">
        <f>K173</f>
        <v>0</v>
      </c>
      <c r="O173" s="303">
        <v>60270</v>
      </c>
    </row>
    <row r="174" spans="1:15">
      <c r="A174" s="156"/>
      <c r="B174" s="115">
        <f>Sponsor!B178</f>
        <v>18</v>
      </c>
      <c r="C174" s="677" t="str">
        <f>IF(Sponsor!C178="","",Sponsor!C178)</f>
        <v/>
      </c>
      <c r="D174" s="638">
        <f>Sponsor!G178</f>
        <v>0</v>
      </c>
      <c r="E174" s="692"/>
      <c r="F174" s="686"/>
      <c r="G174" s="686"/>
      <c r="H174" s="686"/>
      <c r="I174" s="686"/>
      <c r="J174" s="638">
        <f>SUM(E174:I174)</f>
        <v>0</v>
      </c>
      <c r="K174" s="638">
        <f t="shared" si="40"/>
        <v>0</v>
      </c>
      <c r="L174" s="686"/>
      <c r="M174" s="686"/>
      <c r="N174" s="167">
        <f>D174+J174+L174+M174</f>
        <v>0</v>
      </c>
      <c r="O174" s="304"/>
    </row>
    <row r="175" spans="1:15">
      <c r="A175" s="679">
        <f>Sponsor!A179</f>
        <v>60250</v>
      </c>
      <c r="B175" s="116"/>
      <c r="C175" s="102" t="str">
        <f>Sponsor!C179</f>
        <v>Less than $25K</v>
      </c>
      <c r="D175" s="126">
        <f>Sponsor!G179</f>
        <v>0</v>
      </c>
      <c r="E175" s="892" t="s">
        <v>679</v>
      </c>
      <c r="F175" s="893"/>
      <c r="G175" s="893"/>
      <c r="H175" s="893"/>
      <c r="I175" s="894"/>
      <c r="J175" s="673">
        <f>UMYr1!AC139</f>
        <v>0</v>
      </c>
      <c r="K175" s="673">
        <f t="shared" si="40"/>
        <v>0</v>
      </c>
      <c r="L175" s="892" t="s">
        <v>679</v>
      </c>
      <c r="M175" s="957"/>
      <c r="N175" s="168">
        <f>K175</f>
        <v>0</v>
      </c>
      <c r="O175" s="303">
        <v>60250</v>
      </c>
    </row>
    <row r="176" spans="1:15">
      <c r="A176" s="679">
        <f>Sponsor!A180</f>
        <v>60270</v>
      </c>
      <c r="B176" s="116"/>
      <c r="C176" s="102" t="str">
        <f>Sponsor!C180</f>
        <v>Greater than $25K</v>
      </c>
      <c r="D176" s="127">
        <f>Sponsor!G180</f>
        <v>0</v>
      </c>
      <c r="E176" s="895"/>
      <c r="F176" s="896"/>
      <c r="G176" s="896"/>
      <c r="H176" s="896"/>
      <c r="I176" s="897"/>
      <c r="J176" s="673">
        <f>J174-J175</f>
        <v>0</v>
      </c>
      <c r="K176" s="673">
        <f t="shared" si="40"/>
        <v>0</v>
      </c>
      <c r="L176" s="958"/>
      <c r="M176" s="959"/>
      <c r="N176" s="169">
        <f>K176</f>
        <v>0</v>
      </c>
      <c r="O176" s="303">
        <v>60270</v>
      </c>
    </row>
    <row r="177" spans="1:15">
      <c r="A177" s="156"/>
      <c r="B177" s="115">
        <f>Sponsor!B181</f>
        <v>19</v>
      </c>
      <c r="C177" s="677" t="str">
        <f>IF(Sponsor!C181="","",Sponsor!C181)</f>
        <v/>
      </c>
      <c r="D177" s="638">
        <f>Sponsor!G181</f>
        <v>0</v>
      </c>
      <c r="E177" s="692"/>
      <c r="F177" s="686"/>
      <c r="G177" s="686"/>
      <c r="H177" s="686"/>
      <c r="I177" s="686"/>
      <c r="J177" s="638">
        <f>SUM(E177:I177)</f>
        <v>0</v>
      </c>
      <c r="K177" s="638">
        <f t="shared" si="40"/>
        <v>0</v>
      </c>
      <c r="L177" s="686"/>
      <c r="M177" s="686"/>
      <c r="N177" s="167">
        <f>D177+J177+L177+M177</f>
        <v>0</v>
      </c>
      <c r="O177" s="304"/>
    </row>
    <row r="178" spans="1:15">
      <c r="A178" s="679">
        <f>Sponsor!A182</f>
        <v>60250</v>
      </c>
      <c r="B178" s="116"/>
      <c r="C178" s="102" t="str">
        <f>Sponsor!C182</f>
        <v>Less than $25K</v>
      </c>
      <c r="D178" s="126">
        <f>Sponsor!G182</f>
        <v>0</v>
      </c>
      <c r="E178" s="892" t="s">
        <v>679</v>
      </c>
      <c r="F178" s="893"/>
      <c r="G178" s="893"/>
      <c r="H178" s="893"/>
      <c r="I178" s="894"/>
      <c r="J178" s="673">
        <f>UMYr1!AC140</f>
        <v>0</v>
      </c>
      <c r="K178" s="673">
        <f t="shared" si="40"/>
        <v>0</v>
      </c>
      <c r="L178" s="892" t="s">
        <v>679</v>
      </c>
      <c r="M178" s="957"/>
      <c r="N178" s="168">
        <f>K178</f>
        <v>0</v>
      </c>
      <c r="O178" s="303">
        <v>60250</v>
      </c>
    </row>
    <row r="179" spans="1:15">
      <c r="A179" s="679">
        <f>Sponsor!A183</f>
        <v>60270</v>
      </c>
      <c r="B179" s="116"/>
      <c r="C179" s="102" t="str">
        <f>Sponsor!C183</f>
        <v>Greater than $25K</v>
      </c>
      <c r="D179" s="127">
        <f>Sponsor!G183</f>
        <v>0</v>
      </c>
      <c r="E179" s="895"/>
      <c r="F179" s="896"/>
      <c r="G179" s="896"/>
      <c r="H179" s="896"/>
      <c r="I179" s="897"/>
      <c r="J179" s="673">
        <f>J177-J178</f>
        <v>0</v>
      </c>
      <c r="K179" s="673">
        <f t="shared" si="40"/>
        <v>0</v>
      </c>
      <c r="L179" s="958"/>
      <c r="M179" s="959"/>
      <c r="N179" s="169">
        <f>K179</f>
        <v>0</v>
      </c>
      <c r="O179" s="303">
        <v>60270</v>
      </c>
    </row>
    <row r="180" spans="1:15">
      <c r="A180" s="156"/>
      <c r="B180" s="115">
        <f>Sponsor!B184</f>
        <v>20</v>
      </c>
      <c r="C180" s="677" t="str">
        <f>IF(Sponsor!C184="","",Sponsor!C184)</f>
        <v/>
      </c>
      <c r="D180" s="638">
        <f>Sponsor!G184</f>
        <v>0</v>
      </c>
      <c r="E180" s="692"/>
      <c r="F180" s="686"/>
      <c r="G180" s="686"/>
      <c r="H180" s="686"/>
      <c r="I180" s="686"/>
      <c r="J180" s="638">
        <f>SUM(E180:I180)</f>
        <v>0</v>
      </c>
      <c r="K180" s="638">
        <f t="shared" si="40"/>
        <v>0</v>
      </c>
      <c r="L180" s="686"/>
      <c r="M180" s="686"/>
      <c r="N180" s="167">
        <f>D180+J180+L180+M180</f>
        <v>0</v>
      </c>
      <c r="O180" s="304"/>
    </row>
    <row r="181" spans="1:15">
      <c r="A181" s="679">
        <f>Sponsor!A185</f>
        <v>60250</v>
      </c>
      <c r="B181" s="116"/>
      <c r="C181" s="102" t="str">
        <f>Sponsor!C185</f>
        <v>Less than $25K</v>
      </c>
      <c r="D181" s="126">
        <f>Sponsor!G185</f>
        <v>0</v>
      </c>
      <c r="E181" s="892" t="s">
        <v>679</v>
      </c>
      <c r="F181" s="893"/>
      <c r="G181" s="893"/>
      <c r="H181" s="893"/>
      <c r="I181" s="894"/>
      <c r="J181" s="673">
        <f>UMYr1!AC141</f>
        <v>0</v>
      </c>
      <c r="K181" s="673">
        <f t="shared" si="40"/>
        <v>0</v>
      </c>
      <c r="L181" s="892" t="s">
        <v>679</v>
      </c>
      <c r="M181" s="957"/>
      <c r="N181" s="168">
        <f>K181</f>
        <v>0</v>
      </c>
      <c r="O181" s="303">
        <v>60250</v>
      </c>
    </row>
    <row r="182" spans="1:15" ht="13.5" thickBot="1">
      <c r="A182" s="159">
        <f>Sponsor!A186</f>
        <v>60270</v>
      </c>
      <c r="B182" s="116"/>
      <c r="C182" s="102" t="str">
        <f>Sponsor!C186</f>
        <v>Greater than $25K</v>
      </c>
      <c r="D182" s="127">
        <f>Sponsor!G186</f>
        <v>0</v>
      </c>
      <c r="E182" s="916"/>
      <c r="F182" s="788"/>
      <c r="G182" s="788"/>
      <c r="H182" s="788"/>
      <c r="I182" s="917"/>
      <c r="J182" s="171">
        <f>J180-J181</f>
        <v>0</v>
      </c>
      <c r="K182" s="171">
        <f t="shared" si="40"/>
        <v>0</v>
      </c>
      <c r="L182" s="960"/>
      <c r="M182" s="961"/>
      <c r="N182" s="169">
        <f>K182</f>
        <v>0</v>
      </c>
      <c r="O182" s="303">
        <v>60270</v>
      </c>
    </row>
    <row r="183" spans="1:15" ht="13.5" thickBot="1">
      <c r="A183" s="327"/>
      <c r="B183" s="919" t="s">
        <v>602</v>
      </c>
      <c r="C183" s="1055"/>
      <c r="D183" s="308">
        <f>Sponsor!G187</f>
        <v>0</v>
      </c>
      <c r="E183" s="309">
        <f>E123+E126+E129+E132+E135+E138+E141+E144+E147+E150+E153+E156+E159+E162+E165+E168+E171+E174+E177+E180</f>
        <v>0</v>
      </c>
      <c r="F183" s="309">
        <f t="shared" ref="F183:M183" si="41">F123+F126+F129+F132+F135+F138+F141+F144+F147+F150+F153+F156+F159+F162+F165+F168+F171+F174+F177+F180</f>
        <v>0</v>
      </c>
      <c r="G183" s="309">
        <f t="shared" si="41"/>
        <v>0</v>
      </c>
      <c r="H183" s="309">
        <f t="shared" si="41"/>
        <v>0</v>
      </c>
      <c r="I183" s="309">
        <f t="shared" si="41"/>
        <v>0</v>
      </c>
      <c r="J183" s="309">
        <f t="shared" si="41"/>
        <v>0</v>
      </c>
      <c r="K183" s="309">
        <f t="shared" si="41"/>
        <v>0</v>
      </c>
      <c r="L183" s="309">
        <f t="shared" si="41"/>
        <v>0</v>
      </c>
      <c r="M183" s="309">
        <f t="shared" si="41"/>
        <v>0</v>
      </c>
      <c r="N183" s="170">
        <f>D183+L183+M183</f>
        <v>0</v>
      </c>
    </row>
  </sheetData>
  <sheetProtection algorithmName="SHA-512" hashValue="D4xSaJiJKJgaYyf0m53w8afVvCne37piDF7++5pEAHV/R9hGznntFAY90gFadvq6EDgWUDQF9Is5MxBq4fQAew==" saltValue="C9gagcb5N4kBVQXeavopOQ==" spinCount="100000" sheet="1" objects="1" scenarios="1"/>
  <mergeCells count="118">
    <mergeCell ref="B78:C78"/>
    <mergeCell ref="B74:C74"/>
    <mergeCell ref="B42:C42"/>
    <mergeCell ref="B68:C68"/>
    <mergeCell ref="B67:C67"/>
    <mergeCell ref="B63:C63"/>
    <mergeCell ref="B69:C69"/>
    <mergeCell ref="B66:C66"/>
    <mergeCell ref="B52:C52"/>
    <mergeCell ref="E157:I158"/>
    <mergeCell ref="E169:I170"/>
    <mergeCell ref="O1:Q1"/>
    <mergeCell ref="O104:R104"/>
    <mergeCell ref="P105:R105"/>
    <mergeCell ref="P106:R106"/>
    <mergeCell ref="O37:Q37"/>
    <mergeCell ref="O32:Q32"/>
    <mergeCell ref="D1:N1"/>
    <mergeCell ref="P5:P6"/>
    <mergeCell ref="Q5:Q6"/>
    <mergeCell ref="O5:O6"/>
    <mergeCell ref="D3:G3"/>
    <mergeCell ref="O54:O59"/>
    <mergeCell ref="D4:E4"/>
    <mergeCell ref="F4:G4"/>
    <mergeCell ref="H3:J3"/>
    <mergeCell ref="H4:J4"/>
    <mergeCell ref="K2:L2"/>
    <mergeCell ref="K3:L3"/>
    <mergeCell ref="K4:L4"/>
    <mergeCell ref="P107:R107"/>
    <mergeCell ref="P108:R108"/>
    <mergeCell ref="O7:Q7"/>
    <mergeCell ref="O2:Q4"/>
    <mergeCell ref="L175:M176"/>
    <mergeCell ref="L157:M158"/>
    <mergeCell ref="L160:M161"/>
    <mergeCell ref="L163:M164"/>
    <mergeCell ref="L166:M167"/>
    <mergeCell ref="L148:M149"/>
    <mergeCell ref="L151:M152"/>
    <mergeCell ref="L169:M170"/>
    <mergeCell ref="L172:M173"/>
    <mergeCell ref="O14:Q14"/>
    <mergeCell ref="O27:Q27"/>
    <mergeCell ref="O43:Q43"/>
    <mergeCell ref="B109:C109"/>
    <mergeCell ref="L130:M131"/>
    <mergeCell ref="E154:I155"/>
    <mergeCell ref="B36:C36"/>
    <mergeCell ref="B79:C79"/>
    <mergeCell ref="B80:C80"/>
    <mergeCell ref="B110:N110"/>
    <mergeCell ref="L133:M134"/>
    <mergeCell ref="L154:M155"/>
    <mergeCell ref="L136:M137"/>
    <mergeCell ref="L139:M140"/>
    <mergeCell ref="L142:M143"/>
    <mergeCell ref="E133:I134"/>
    <mergeCell ref="E136:I137"/>
    <mergeCell ref="E139:I140"/>
    <mergeCell ref="E142:I143"/>
    <mergeCell ref="B81:C81"/>
    <mergeCell ref="B102:C102"/>
    <mergeCell ref="B83:C83"/>
    <mergeCell ref="M78:M83"/>
    <mergeCell ref="E124:I125"/>
    <mergeCell ref="B75:C75"/>
    <mergeCell ref="B77:C77"/>
    <mergeCell ref="B73:C73"/>
    <mergeCell ref="B26:C26"/>
    <mergeCell ref="B30:C30"/>
    <mergeCell ref="L54:M54"/>
    <mergeCell ref="F55:J59"/>
    <mergeCell ref="B183:C183"/>
    <mergeCell ref="L124:M125"/>
    <mergeCell ref="L127:M128"/>
    <mergeCell ref="L145:M146"/>
    <mergeCell ref="L178:M179"/>
    <mergeCell ref="L181:M182"/>
    <mergeCell ref="E181:I182"/>
    <mergeCell ref="E163:I164"/>
    <mergeCell ref="E151:I152"/>
    <mergeCell ref="E172:I173"/>
    <mergeCell ref="E178:I179"/>
    <mergeCell ref="E145:I146"/>
    <mergeCell ref="E148:I149"/>
    <mergeCell ref="E160:I161"/>
    <mergeCell ref="E175:I176"/>
    <mergeCell ref="E127:I128"/>
    <mergeCell ref="E130:I131"/>
    <mergeCell ref="E166:I167"/>
    <mergeCell ref="B120:C120"/>
    <mergeCell ref="B84:C84"/>
    <mergeCell ref="A1:C1"/>
    <mergeCell ref="E5:J5"/>
    <mergeCell ref="C5:C6"/>
    <mergeCell ref="B5:B6"/>
    <mergeCell ref="B65:N65"/>
    <mergeCell ref="D2:G2"/>
    <mergeCell ref="H2:J2"/>
    <mergeCell ref="D54:D59"/>
    <mergeCell ref="B60:C60"/>
    <mergeCell ref="L5:M5"/>
    <mergeCell ref="A2:B2"/>
    <mergeCell ref="A3:B3"/>
    <mergeCell ref="A4:B4"/>
    <mergeCell ref="A5:A6"/>
    <mergeCell ref="D5:D6"/>
    <mergeCell ref="B12:C12"/>
    <mergeCell ref="N5:N6"/>
    <mergeCell ref="K5:K6"/>
    <mergeCell ref="B13:C13"/>
    <mergeCell ref="B31:C31"/>
    <mergeCell ref="B23:C23"/>
    <mergeCell ref="B53:C53"/>
    <mergeCell ref="B64:N64"/>
    <mergeCell ref="B62:C62"/>
  </mergeCells>
  <phoneticPr fontId="0" type="noConversion"/>
  <conditionalFormatting sqref="A8">
    <cfRule type="expression" dxfId="204" priority="119" stopIfTrue="1">
      <formula>OR($AH$8&gt;0,$AJ$8&gt;0)</formula>
    </cfRule>
  </conditionalFormatting>
  <conditionalFormatting sqref="A9">
    <cfRule type="expression" dxfId="203" priority="117" stopIfTrue="1">
      <formula>OR($AH$9&gt;0,$AJ$9&gt;0)</formula>
    </cfRule>
    <cfRule type="expression" dxfId="202" priority="118" stopIfTrue="1">
      <formula>$AH$9&gt;0</formula>
    </cfRule>
  </conditionalFormatting>
  <conditionalFormatting sqref="A10">
    <cfRule type="expression" dxfId="201" priority="116" stopIfTrue="1">
      <formula>OR($AH$10&gt;0,$AJ$10&gt;0)</formula>
    </cfRule>
  </conditionalFormatting>
  <conditionalFormatting sqref="A11">
    <cfRule type="expression" dxfId="200" priority="115" stopIfTrue="1">
      <formula>OR($AH$11&gt;0,$AJ$11&gt;0)</formula>
    </cfRule>
  </conditionalFormatting>
  <conditionalFormatting sqref="A107">
    <cfRule type="expression" dxfId="199" priority="110" stopIfTrue="1">
      <formula>OR($AH$40&gt;0,$AJ$40&gt;0)</formula>
    </cfRule>
  </conditionalFormatting>
  <conditionalFormatting sqref="A86">
    <cfRule type="expression" dxfId="198" priority="107" stopIfTrue="1">
      <formula>OR($AH$15&gt;0,$AJ$15&gt;0)</formula>
    </cfRule>
  </conditionalFormatting>
  <conditionalFormatting sqref="A87">
    <cfRule type="expression" dxfId="197" priority="106" stopIfTrue="1">
      <formula>OR($AH$16&gt;0,$AJ$16&gt;0)</formula>
    </cfRule>
  </conditionalFormatting>
  <conditionalFormatting sqref="A88">
    <cfRule type="expression" dxfId="196" priority="105" stopIfTrue="1">
      <formula>OR($AH$17&gt;0,$AJ$17&gt;0)</formula>
    </cfRule>
  </conditionalFormatting>
  <conditionalFormatting sqref="A89">
    <cfRule type="expression" dxfId="195" priority="104" stopIfTrue="1">
      <formula>OR($AH$18&gt;0,$AJ$18&gt;0)</formula>
    </cfRule>
  </conditionalFormatting>
  <conditionalFormatting sqref="A90">
    <cfRule type="expression" dxfId="194" priority="103" stopIfTrue="1">
      <formula>OR($AH$19&gt;0,$AJ$19&gt;0)</formula>
    </cfRule>
  </conditionalFormatting>
  <conditionalFormatting sqref="A91">
    <cfRule type="expression" dxfId="193" priority="102" stopIfTrue="1">
      <formula>OR($AH$20&gt;0,$AJ$20&gt;0)</formula>
    </cfRule>
  </conditionalFormatting>
  <conditionalFormatting sqref="A92">
    <cfRule type="expression" dxfId="192" priority="101" stopIfTrue="1">
      <formula>OR($AH$21&gt;0,$AJ$21&gt;0)</formula>
    </cfRule>
  </conditionalFormatting>
  <conditionalFormatting sqref="A93">
    <cfRule type="expression" dxfId="191" priority="100" stopIfTrue="1">
      <formula>OR($AH$22&gt;0,$AJ$22&gt;0)</formula>
    </cfRule>
  </conditionalFormatting>
  <conditionalFormatting sqref="A94">
    <cfRule type="expression" dxfId="190" priority="99" stopIfTrue="1">
      <formula>OR($AH$23&gt;0,$AJ$23&gt;0)</formula>
    </cfRule>
  </conditionalFormatting>
  <conditionalFormatting sqref="A95">
    <cfRule type="expression" dxfId="189" priority="98" stopIfTrue="1">
      <formula>OR($AH$24&gt;0,$AJ$24&gt;0)</formula>
    </cfRule>
  </conditionalFormatting>
  <conditionalFormatting sqref="A96">
    <cfRule type="expression" dxfId="188" priority="97" stopIfTrue="1">
      <formula>OR($AH$25&gt;0,$AJ$25&gt;0)</formula>
    </cfRule>
  </conditionalFormatting>
  <conditionalFormatting sqref="A97">
    <cfRule type="expression" dxfId="187" priority="96" stopIfTrue="1">
      <formula>OR($AH$26&gt;0,$AJ$26&gt;0)</formula>
    </cfRule>
  </conditionalFormatting>
  <conditionalFormatting sqref="A98">
    <cfRule type="expression" dxfId="186" priority="95" stopIfTrue="1">
      <formula>OR($AH$27&gt;0,$AJ$27&gt;0)</formula>
    </cfRule>
  </conditionalFormatting>
  <conditionalFormatting sqref="A99">
    <cfRule type="expression" dxfId="185" priority="94" stopIfTrue="1">
      <formula>OR($AH$28&gt;0,$AJ$28&gt;0)</formula>
    </cfRule>
  </conditionalFormatting>
  <conditionalFormatting sqref="A29">
    <cfRule type="expression" dxfId="184" priority="93" stopIfTrue="1">
      <formula>OR($AH$35&gt;0,$AJ$35&gt;0)</formula>
    </cfRule>
  </conditionalFormatting>
  <conditionalFormatting sqref="A104">
    <cfRule type="expression" dxfId="183" priority="91" stopIfTrue="1">
      <formula>OR($AH$37&gt;0,$AJ$37&gt;0)</formula>
    </cfRule>
  </conditionalFormatting>
  <conditionalFormatting sqref="A105">
    <cfRule type="expression" dxfId="182" priority="90" stopIfTrue="1">
      <formula>OR($AH$38&gt;0,$AJ$38&gt;0)</formula>
    </cfRule>
  </conditionalFormatting>
  <conditionalFormatting sqref="A106">
    <cfRule type="expression" dxfId="181" priority="89" stopIfTrue="1">
      <formula>OR($AH$39&gt;0,$AJ$39&gt;0)</formula>
    </cfRule>
  </conditionalFormatting>
  <conditionalFormatting sqref="A111">
    <cfRule type="expression" dxfId="180" priority="86" stopIfTrue="1">
      <formula>OR($AH$45&gt;0,$AJ$45&gt;0)</formula>
    </cfRule>
  </conditionalFormatting>
  <conditionalFormatting sqref="A112">
    <cfRule type="expression" dxfId="179" priority="85" stopIfTrue="1">
      <formula>OR($AH$46&gt;0,$AJ$46&gt;0)</formula>
    </cfRule>
  </conditionalFormatting>
  <conditionalFormatting sqref="A113">
    <cfRule type="expression" dxfId="178" priority="84" stopIfTrue="1">
      <formula>OR($AH$47&gt;0,$AJ$47&gt;0)</formula>
    </cfRule>
  </conditionalFormatting>
  <conditionalFormatting sqref="A114">
    <cfRule type="expression" dxfId="177" priority="83" stopIfTrue="1">
      <formula>OR($AH$48&gt;0,$AJ$48&gt;0)</formula>
    </cfRule>
  </conditionalFormatting>
  <conditionalFormatting sqref="A115">
    <cfRule type="expression" dxfId="176" priority="82" stopIfTrue="1">
      <formula>OR($AH$49&gt;0,$AJ$49&gt;0)</formula>
    </cfRule>
  </conditionalFormatting>
  <conditionalFormatting sqref="A116">
    <cfRule type="expression" dxfId="175" priority="81" stopIfTrue="1">
      <formula>OR($AH$50&gt;0,$AJ$50&gt;0)</formula>
    </cfRule>
  </conditionalFormatting>
  <conditionalFormatting sqref="A117">
    <cfRule type="expression" dxfId="174" priority="80" stopIfTrue="1">
      <formula>OR($AH$51&gt;0,$AJ$51&gt;0)</formula>
    </cfRule>
  </conditionalFormatting>
  <conditionalFormatting sqref="A118">
    <cfRule type="expression" dxfId="173" priority="44" stopIfTrue="1">
      <formula>OR($AH$52&gt;0,$AJ$52&gt;0)</formula>
    </cfRule>
  </conditionalFormatting>
  <conditionalFormatting sqref="A28">
    <cfRule type="expression" dxfId="172" priority="127" stopIfTrue="1">
      <formula>OR($AH$34&gt;0,$AJ$34&gt;0)</formula>
    </cfRule>
  </conditionalFormatting>
  <conditionalFormatting sqref="A30">
    <cfRule type="expression" dxfId="171" priority="129" stopIfTrue="1">
      <formula>OR($AH$42&gt;0,$AJ$42&gt;0)</formula>
    </cfRule>
  </conditionalFormatting>
  <conditionalFormatting sqref="A100">
    <cfRule type="expression" dxfId="170" priority="144" stopIfTrue="1">
      <formula>OR($AH$29&gt;0,$AJ$29&gt;0)</formula>
    </cfRule>
  </conditionalFormatting>
  <conditionalFormatting sqref="A101">
    <cfRule type="expression" dxfId="169" priority="145" stopIfTrue="1">
      <formula>OR($AH$30&gt;0,$AJ$30&gt;0)</formula>
    </cfRule>
  </conditionalFormatting>
  <conditionalFormatting sqref="A108">
    <cfRule type="expression" dxfId="168" priority="150" stopIfTrue="1">
      <formula>OR($AH$41&gt;0,$AJ$41&gt;0)</formula>
    </cfRule>
  </conditionalFormatting>
  <conditionalFormatting sqref="A119">
    <cfRule type="expression" dxfId="167" priority="159" stopIfTrue="1">
      <formula>OR($AH$53&gt;0,$AJ$53&gt;0)</formula>
    </cfRule>
  </conditionalFormatting>
  <conditionalFormatting sqref="E24:E25">
    <cfRule type="expression" dxfId="166" priority="160" stopIfTrue="1">
      <formula>$AC$31&gt;0</formula>
    </cfRule>
  </conditionalFormatting>
  <conditionalFormatting sqref="F24:F25">
    <cfRule type="expression" dxfId="165" priority="161" stopIfTrue="1">
      <formula>$AD$31&gt;0</formula>
    </cfRule>
  </conditionalFormatting>
  <conditionalFormatting sqref="G24:G25">
    <cfRule type="expression" dxfId="164" priority="162" stopIfTrue="1">
      <formula>$AE$31&gt;0</formula>
    </cfRule>
  </conditionalFormatting>
  <conditionalFormatting sqref="H24:H25">
    <cfRule type="expression" dxfId="163" priority="163" stopIfTrue="1">
      <formula>$AF$31&gt;0</formula>
    </cfRule>
  </conditionalFormatting>
  <conditionalFormatting sqref="I24:I25">
    <cfRule type="expression" dxfId="162" priority="164" stopIfTrue="1">
      <formula>$AG$31&gt;0</formula>
    </cfRule>
  </conditionalFormatting>
  <conditionalFormatting sqref="E102 E12">
    <cfRule type="expression" dxfId="161" priority="165" stopIfTrue="1">
      <formula>$AC$32&gt;0</formula>
    </cfRule>
  </conditionalFormatting>
  <conditionalFormatting sqref="F102 F12">
    <cfRule type="expression" dxfId="160" priority="166" stopIfTrue="1">
      <formula>$AD$32&gt;0</formula>
    </cfRule>
  </conditionalFormatting>
  <conditionalFormatting sqref="G102 G12">
    <cfRule type="expression" dxfId="159" priority="167" stopIfTrue="1">
      <formula>$AE$32&gt;0</formula>
    </cfRule>
  </conditionalFormatting>
  <conditionalFormatting sqref="H102 H12">
    <cfRule type="expression" dxfId="158" priority="168" stopIfTrue="1">
      <formula>$AF$32&gt;0</formula>
    </cfRule>
  </conditionalFormatting>
  <conditionalFormatting sqref="I102 I12">
    <cfRule type="expression" dxfId="157" priority="169" stopIfTrue="1">
      <formula>$AG$32&gt;0</formula>
    </cfRule>
  </conditionalFormatting>
  <conditionalFormatting sqref="E30 E109">
    <cfRule type="expression" dxfId="156" priority="170" stopIfTrue="1">
      <formula>$AC$42&gt;0</formula>
    </cfRule>
  </conditionalFormatting>
  <conditionalFormatting sqref="F30 F109">
    <cfRule type="expression" dxfId="155" priority="171" stopIfTrue="1">
      <formula>$AD$42&gt;0</formula>
    </cfRule>
  </conditionalFormatting>
  <conditionalFormatting sqref="G30 G109">
    <cfRule type="expression" dxfId="154" priority="172" stopIfTrue="1">
      <formula>$AE$42&gt;0</formula>
    </cfRule>
  </conditionalFormatting>
  <conditionalFormatting sqref="H30 H109">
    <cfRule type="expression" dxfId="153" priority="173" stopIfTrue="1">
      <formula>$AF$42&gt;0</formula>
    </cfRule>
  </conditionalFormatting>
  <conditionalFormatting sqref="I30 I109">
    <cfRule type="expression" dxfId="152" priority="174" stopIfTrue="1">
      <formula>$AG$42&gt;0</formula>
    </cfRule>
  </conditionalFormatting>
  <conditionalFormatting sqref="E51 E120">
    <cfRule type="expression" dxfId="151" priority="175" stopIfTrue="1">
      <formula>$AC$54&gt;0</formula>
    </cfRule>
  </conditionalFormatting>
  <conditionalFormatting sqref="F51 F120">
    <cfRule type="expression" dxfId="150" priority="176" stopIfTrue="1">
      <formula>$AD$54&gt;0</formula>
    </cfRule>
  </conditionalFormatting>
  <conditionalFormatting sqref="G51 G120">
    <cfRule type="expression" dxfId="149" priority="177" stopIfTrue="1">
      <formula>$AE$54&gt;0</formula>
    </cfRule>
  </conditionalFormatting>
  <conditionalFormatting sqref="H51 H120">
    <cfRule type="expression" dxfId="148" priority="178" stopIfTrue="1">
      <formula>$AF$54&gt;0</formula>
    </cfRule>
  </conditionalFormatting>
  <conditionalFormatting sqref="I51 I120">
    <cfRule type="expression" dxfId="147" priority="179" stopIfTrue="1">
      <formula>$AG$54&gt;0</formula>
    </cfRule>
  </conditionalFormatting>
  <conditionalFormatting sqref="A51">
    <cfRule type="expression" dxfId="146" priority="195" stopIfTrue="1">
      <formula>OR($AH$54&gt;0,$AJ$54&gt;0)</formula>
    </cfRule>
  </conditionalFormatting>
  <conditionalFormatting sqref="A12">
    <cfRule type="expression" dxfId="145" priority="201" stopIfTrue="1">
      <formula>OR($AH$32&gt;0,$AJ$32&gt;0)</formula>
    </cfRule>
  </conditionalFormatting>
  <conditionalFormatting sqref="D8">
    <cfRule type="expression" dxfId="144" priority="43" stopIfTrue="1">
      <formula>$AJ$8&gt;0</formula>
    </cfRule>
  </conditionalFormatting>
  <conditionalFormatting sqref="D9">
    <cfRule type="expression" dxfId="143" priority="42" stopIfTrue="1">
      <formula>$AJ$9&gt;0</formula>
    </cfRule>
  </conditionalFormatting>
  <conditionalFormatting sqref="D10">
    <cfRule type="expression" dxfId="142" priority="41" stopIfTrue="1">
      <formula>$AJ$10&gt;0</formula>
    </cfRule>
  </conditionalFormatting>
  <conditionalFormatting sqref="D11">
    <cfRule type="expression" dxfId="141" priority="40" stopIfTrue="1">
      <formula>$AJ$11&gt;0</formula>
    </cfRule>
  </conditionalFormatting>
  <conditionalFormatting sqref="D12">
    <cfRule type="expression" dxfId="140" priority="39" stopIfTrue="1">
      <formula>$AJ$32&gt;0</formula>
    </cfRule>
  </conditionalFormatting>
  <conditionalFormatting sqref="D28">
    <cfRule type="expression" dxfId="139" priority="38" stopIfTrue="1">
      <formula>$AJ$34&gt;0</formula>
    </cfRule>
  </conditionalFormatting>
  <conditionalFormatting sqref="D29">
    <cfRule type="expression" dxfId="138" priority="37" stopIfTrue="1">
      <formula>$AJ$35&gt;0</formula>
    </cfRule>
  </conditionalFormatting>
  <conditionalFormatting sqref="D30">
    <cfRule type="expression" dxfId="137" priority="36" stopIfTrue="1">
      <formula>$AJ$42&gt;0</formula>
    </cfRule>
  </conditionalFormatting>
  <conditionalFormatting sqref="D51">
    <cfRule type="expression" dxfId="136" priority="35" stopIfTrue="1">
      <formula>$AJ$54&gt;0</formula>
    </cfRule>
  </conditionalFormatting>
  <conditionalFormatting sqref="D86">
    <cfRule type="expression" dxfId="135" priority="34" stopIfTrue="1">
      <formula>$AJ$15&gt;0</formula>
    </cfRule>
  </conditionalFormatting>
  <conditionalFormatting sqref="D87">
    <cfRule type="expression" dxfId="134" priority="33" stopIfTrue="1">
      <formula>$AJ$16&gt;0</formula>
    </cfRule>
  </conditionalFormatting>
  <conditionalFormatting sqref="D88">
    <cfRule type="expression" dxfId="133" priority="32" stopIfTrue="1">
      <formula>$AJ$17&gt;0</formula>
    </cfRule>
  </conditionalFormatting>
  <conditionalFormatting sqref="D89">
    <cfRule type="expression" dxfId="132" priority="31" stopIfTrue="1">
      <formula>$AJ$18&gt;0</formula>
    </cfRule>
  </conditionalFormatting>
  <conditionalFormatting sqref="D90">
    <cfRule type="expression" dxfId="131" priority="30" stopIfTrue="1">
      <formula>$AJ$19&gt;0</formula>
    </cfRule>
  </conditionalFormatting>
  <conditionalFormatting sqref="D91">
    <cfRule type="expression" dxfId="130" priority="29" stopIfTrue="1">
      <formula>$AJ$20&gt;0</formula>
    </cfRule>
  </conditionalFormatting>
  <conditionalFormatting sqref="D92">
    <cfRule type="expression" dxfId="129" priority="28" stopIfTrue="1">
      <formula>$AJ$21&gt;0</formula>
    </cfRule>
  </conditionalFormatting>
  <conditionalFormatting sqref="D93">
    <cfRule type="expression" dxfId="128" priority="27" stopIfTrue="1">
      <formula>$AJ$22&gt;0</formula>
    </cfRule>
  </conditionalFormatting>
  <conditionalFormatting sqref="D94">
    <cfRule type="expression" dxfId="127" priority="26" stopIfTrue="1">
      <formula>$AJ$23&gt;0</formula>
    </cfRule>
  </conditionalFormatting>
  <conditionalFormatting sqref="D95">
    <cfRule type="expression" dxfId="126" priority="25" stopIfTrue="1">
      <formula>$AJ$24&gt;0</formula>
    </cfRule>
  </conditionalFormatting>
  <conditionalFormatting sqref="D96">
    <cfRule type="expression" dxfId="125" priority="24" stopIfTrue="1">
      <formula>$AJ$25&gt;0</formula>
    </cfRule>
  </conditionalFormatting>
  <conditionalFormatting sqref="D97">
    <cfRule type="expression" dxfId="124" priority="23" stopIfTrue="1">
      <formula>$AJ$26&gt;0</formula>
    </cfRule>
  </conditionalFormatting>
  <conditionalFormatting sqref="D98">
    <cfRule type="expression" dxfId="123" priority="22" stopIfTrue="1">
      <formula>$AJ$27&gt;0</formula>
    </cfRule>
  </conditionalFormatting>
  <conditionalFormatting sqref="D99">
    <cfRule type="expression" dxfId="122" priority="21" stopIfTrue="1">
      <formula>$AJ$28&gt;0</formula>
    </cfRule>
  </conditionalFormatting>
  <conditionalFormatting sqref="D100">
    <cfRule type="expression" dxfId="121" priority="20" stopIfTrue="1">
      <formula>$AJ$29&gt;0</formula>
    </cfRule>
  </conditionalFormatting>
  <conditionalFormatting sqref="D101">
    <cfRule type="expression" dxfId="120" priority="19" stopIfTrue="1">
      <formula>$AJ$30&gt;0</formula>
    </cfRule>
  </conditionalFormatting>
  <conditionalFormatting sqref="D102">
    <cfRule type="expression" dxfId="119" priority="18" stopIfTrue="1">
      <formula>$AJ$32&gt;0</formula>
    </cfRule>
  </conditionalFormatting>
  <conditionalFormatting sqref="D104">
    <cfRule type="expression" dxfId="118" priority="17" stopIfTrue="1">
      <formula>$AJ$37&gt;0</formula>
    </cfRule>
  </conditionalFormatting>
  <conditionalFormatting sqref="D105">
    <cfRule type="expression" dxfId="117" priority="16" stopIfTrue="1">
      <formula>$AJ$38&gt;0</formula>
    </cfRule>
  </conditionalFormatting>
  <conditionalFormatting sqref="D106">
    <cfRule type="expression" dxfId="116" priority="15" stopIfTrue="1">
      <formula>$AJ$39&gt;0</formula>
    </cfRule>
  </conditionalFormatting>
  <conditionalFormatting sqref="D107">
    <cfRule type="expression" dxfId="115" priority="14" stopIfTrue="1">
      <formula>$AJ$40&gt;0</formula>
    </cfRule>
  </conditionalFormatting>
  <conditionalFormatting sqref="D108">
    <cfRule type="expression" dxfId="114" priority="13" stopIfTrue="1">
      <formula>$AJ$41&gt;0</formula>
    </cfRule>
  </conditionalFormatting>
  <conditionalFormatting sqref="D109">
    <cfRule type="expression" dxfId="113" priority="12" stopIfTrue="1">
      <formula>$AJ$42&gt;0</formula>
    </cfRule>
  </conditionalFormatting>
  <conditionalFormatting sqref="D111">
    <cfRule type="expression" dxfId="112" priority="11" stopIfTrue="1">
      <formula>$AJ$45&gt;0</formula>
    </cfRule>
  </conditionalFormatting>
  <conditionalFormatting sqref="D112">
    <cfRule type="expression" dxfId="111" priority="10" stopIfTrue="1">
      <formula>$AJ$46&gt;0</formula>
    </cfRule>
  </conditionalFormatting>
  <conditionalFormatting sqref="D113">
    <cfRule type="expression" dxfId="110" priority="9" stopIfTrue="1">
      <formula>$AJ$47&gt;0</formula>
    </cfRule>
  </conditionalFormatting>
  <conditionalFormatting sqref="D114">
    <cfRule type="expression" dxfId="109" priority="8" stopIfTrue="1">
      <formula>$AJ$48&gt;0</formula>
    </cfRule>
  </conditionalFormatting>
  <conditionalFormatting sqref="D115">
    <cfRule type="expression" dxfId="108" priority="7" stopIfTrue="1">
      <formula>$AJ$49&gt;0</formula>
    </cfRule>
  </conditionalFormatting>
  <conditionalFormatting sqref="D116">
    <cfRule type="expression" dxfId="107" priority="6" stopIfTrue="1">
      <formula>$AJ$50&gt;0</formula>
    </cfRule>
  </conditionalFormatting>
  <conditionalFormatting sqref="D117">
    <cfRule type="expression" dxfId="106" priority="5" stopIfTrue="1">
      <formula>$AJ$51&gt;0</formula>
    </cfRule>
  </conditionalFormatting>
  <conditionalFormatting sqref="D118">
    <cfRule type="expression" dxfId="105" priority="4" stopIfTrue="1">
      <formula>$AJ$52&gt;0</formula>
    </cfRule>
  </conditionalFormatting>
  <conditionalFormatting sqref="D119">
    <cfRule type="expression" dxfId="104" priority="3" stopIfTrue="1">
      <formula>$AJ$53&gt;0</formula>
    </cfRule>
  </conditionalFormatting>
  <conditionalFormatting sqref="D120">
    <cfRule type="expression" dxfId="103" priority="2" stopIfTrue="1">
      <formula>$AJ$54&gt;0</formula>
    </cfRule>
  </conditionalFormatting>
  <conditionalFormatting sqref="D24:D25">
    <cfRule type="expression" dxfId="102" priority="1" stopIfTrue="1">
      <formula>$AJ$31&gt;0</formula>
    </cfRule>
  </conditionalFormatting>
  <printOptions horizontalCentered="1" verticalCentered="1"/>
  <pageMargins left="0.5" right="0.5" top="0.5" bottom="0.5" header="0" footer="0"/>
  <pageSetup scale="65" fitToHeight="0" orientation="portrait" blackAndWhite="1" horizontalDpi="300" verticalDpi="300" r:id="rId1"/>
  <headerFooter alignWithMargins="0"/>
  <rowBreaks count="1" manualBreakCount="1">
    <brk id="120" max="13" man="1"/>
  </rowBreaks>
  <ignoredErrors>
    <ignoredError sqref="N82 J80 K61 Q60:Q61 N60 J12:J13 N126 N129 N132 N135 N138 N141 N144 N147 N150 N153 N156 N159 N162 N165 N168 N171 N174 N177 N180" formula="1"/>
    <ignoredError sqref="O105:O10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AJ183"/>
  <sheetViews>
    <sheetView zoomScaleNormal="100" workbookViewId="0">
      <pane ySplit="6" topLeftCell="A7" activePane="bottomLeft" state="frozen"/>
      <selection pane="bottomLeft" sqref="A1:C1"/>
      <selection activeCell="A26" sqref="A26"/>
    </sheetView>
  </sheetViews>
  <sheetFormatPr defaultColWidth="9.140625" defaultRowHeight="12.75"/>
  <cols>
    <col min="1" max="1" width="8.28515625" style="223" customWidth="1"/>
    <col min="2" max="2" width="6.7109375" style="223"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42578125" customWidth="1"/>
    <col min="19" max="19" width="9.140625" customWidth="1"/>
    <col min="20" max="26" width="9.140625" hidden="1" customWidth="1"/>
    <col min="27" max="36" width="9.140625" customWidth="1"/>
  </cols>
  <sheetData>
    <row r="1" spans="1:36" ht="30.6" customHeight="1">
      <c r="A1" s="729" t="s">
        <v>686</v>
      </c>
      <c r="B1" s="1047"/>
      <c r="C1" s="1028"/>
      <c r="D1" s="729" t="s">
        <v>434</v>
      </c>
      <c r="E1" s="842"/>
      <c r="F1" s="842"/>
      <c r="G1" s="842"/>
      <c r="H1" s="842"/>
      <c r="I1" s="842"/>
      <c r="J1" s="842"/>
      <c r="K1" s="842"/>
      <c r="L1" s="842"/>
      <c r="M1" s="842"/>
      <c r="N1" s="843"/>
      <c r="O1" s="846" t="str">
        <f>Instructions!A42</f>
        <v>ORA Budget Form Revised  10/15/24</v>
      </c>
      <c r="P1" s="847"/>
      <c r="Q1" s="847"/>
    </row>
    <row r="2" spans="1:36" ht="12.95" customHeight="1">
      <c r="A2" s="995" t="s">
        <v>435</v>
      </c>
      <c r="B2" s="996"/>
      <c r="C2" s="473" t="s">
        <v>436</v>
      </c>
      <c r="D2" s="1069" t="str">
        <f>IF(Sponsor!D2 = "", "", Sponsor!D2)</f>
        <v/>
      </c>
      <c r="E2" s="1048"/>
      <c r="F2" s="1048"/>
      <c r="G2" s="1049"/>
      <c r="H2" s="777" t="str">
        <f>UMYr1!H2</f>
        <v>People Soft Project #:</v>
      </c>
      <c r="I2" s="777"/>
      <c r="J2" s="779"/>
      <c r="K2" s="854" t="str">
        <f>IF(Sponsor!H2 = "", "", Sponsor!H2)</f>
        <v/>
      </c>
      <c r="L2" s="866"/>
      <c r="M2" s="567"/>
      <c r="N2" s="558"/>
      <c r="O2" s="859" t="s">
        <v>636</v>
      </c>
      <c r="P2" s="969"/>
      <c r="Q2" s="930"/>
    </row>
    <row r="3" spans="1:36" ht="12.95" customHeight="1">
      <c r="A3" s="944" t="s">
        <v>439</v>
      </c>
      <c r="B3" s="945"/>
      <c r="C3" s="21" t="s">
        <v>440</v>
      </c>
      <c r="D3" s="854" t="str">
        <f>IF(Sponsor!D3 = "", "", Sponsor!D3)</f>
        <v/>
      </c>
      <c r="E3" s="946"/>
      <c r="F3" s="946"/>
      <c r="G3" s="866"/>
      <c r="H3" s="777" t="s">
        <v>637</v>
      </c>
      <c r="I3" s="777"/>
      <c r="J3" s="779"/>
      <c r="K3" s="946" t="str">
        <f>IF(Sponsor!H3 = "", "", Sponsor!H3)</f>
        <v/>
      </c>
      <c r="L3" s="866"/>
      <c r="M3" s="568"/>
      <c r="N3" s="39"/>
      <c r="O3" s="970"/>
      <c r="P3" s="971"/>
      <c r="Q3" s="933"/>
    </row>
    <row r="4" spans="1:36" ht="12.95" customHeight="1">
      <c r="A4" s="864" t="str">
        <f>IF(Sponsor!A4 = "", "", Sponsor!A4)</f>
        <v/>
      </c>
      <c r="B4" s="865"/>
      <c r="C4" s="22" t="s">
        <v>638</v>
      </c>
      <c r="D4" s="854" t="str">
        <f>IF(Sponsor!D4="","",Sponsor!D4)</f>
        <v/>
      </c>
      <c r="E4" s="946"/>
      <c r="F4" s="864" t="str">
        <f>IF(Sponsor!E4="","",Sponsor!E4)</f>
        <v/>
      </c>
      <c r="G4" s="905"/>
      <c r="H4" s="777" t="s">
        <v>639</v>
      </c>
      <c r="I4" s="777"/>
      <c r="J4" s="779"/>
      <c r="K4" s="946" t="str">
        <f>IF(Sponsor!H4 = "", "", Sponsor!H4)</f>
        <v/>
      </c>
      <c r="L4" s="866"/>
      <c r="M4" s="567"/>
      <c r="N4" s="558"/>
      <c r="O4" s="972"/>
      <c r="P4" s="973"/>
      <c r="Q4" s="936"/>
    </row>
    <row r="5" spans="1:36" ht="12.95" customHeight="1">
      <c r="A5" s="938" t="s">
        <v>445</v>
      </c>
      <c r="B5" s="821" t="s">
        <v>446</v>
      </c>
      <c r="C5" s="801" t="s">
        <v>447</v>
      </c>
      <c r="D5" s="797" t="s">
        <v>433</v>
      </c>
      <c r="E5" s="857" t="s">
        <v>640</v>
      </c>
      <c r="F5" s="858"/>
      <c r="G5" s="858"/>
      <c r="H5" s="858"/>
      <c r="I5" s="858"/>
      <c r="J5" s="853"/>
      <c r="K5" s="848" t="s">
        <v>641</v>
      </c>
      <c r="L5" s="852" t="s">
        <v>642</v>
      </c>
      <c r="M5" s="853"/>
      <c r="N5" s="848" t="s">
        <v>643</v>
      </c>
      <c r="O5" s="850" t="s">
        <v>644</v>
      </c>
      <c r="P5" s="850" t="s">
        <v>645</v>
      </c>
      <c r="Q5" s="850" t="s">
        <v>641</v>
      </c>
    </row>
    <row r="6" spans="1:36" ht="12.95" customHeight="1">
      <c r="A6" s="851"/>
      <c r="B6" s="939"/>
      <c r="C6" s="787"/>
      <c r="D6" s="798"/>
      <c r="E6" s="679" t="str">
        <f>UMYr1!E6</f>
        <v/>
      </c>
      <c r="F6" s="679" t="str">
        <f>UMYr1!F6</f>
        <v/>
      </c>
      <c r="G6" s="679" t="str">
        <f>UMYr1!G6</f>
        <v/>
      </c>
      <c r="H6" s="679" t="str">
        <f>UMYr1!H6</f>
        <v/>
      </c>
      <c r="I6" s="679" t="str">
        <f>UMYr1!I6</f>
        <v/>
      </c>
      <c r="J6" s="687" t="str">
        <f>UMYr4!J6</f>
        <v>Total UM</v>
      </c>
      <c r="K6" s="849"/>
      <c r="L6" s="19" t="str">
        <f>UMYr1!L6</f>
        <v>3rd Party</v>
      </c>
      <c r="M6" s="20" t="str">
        <f>UMYr1!M6</f>
        <v>Other</v>
      </c>
      <c r="N6" s="849"/>
      <c r="O6" s="851"/>
      <c r="P6" s="851"/>
      <c r="Q6" s="928"/>
    </row>
    <row r="7" spans="1:36" ht="12.95" customHeight="1">
      <c r="A7" s="155" t="str">
        <f>IF(UMYr4!A7&lt;&gt;"",UMYr4!A7,"")</f>
        <v/>
      </c>
      <c r="B7" s="82" t="str">
        <f>IF(UMYr1!B7="","",UMYr1!B7)</f>
        <v>SENIOR PERSONNEL - names and account codes must be entered in Sponsor tab</v>
      </c>
      <c r="C7" s="28"/>
      <c r="D7" s="28"/>
      <c r="E7" s="28"/>
      <c r="F7" s="28"/>
      <c r="G7" s="28"/>
      <c r="H7" s="28"/>
      <c r="I7" s="28"/>
      <c r="J7" s="28"/>
      <c r="K7" s="28"/>
      <c r="L7" s="28"/>
      <c r="M7" s="28"/>
      <c r="N7" s="190"/>
      <c r="O7" s="1051"/>
      <c r="P7" s="1047"/>
      <c r="Q7" s="1028"/>
      <c r="S7" s="200"/>
      <c r="T7" s="197"/>
      <c r="U7" s="443"/>
      <c r="V7" s="443"/>
      <c r="W7" s="443"/>
      <c r="X7" s="443"/>
      <c r="Y7" s="443"/>
      <c r="Z7" s="443"/>
      <c r="AA7" s="63"/>
    </row>
    <row r="8" spans="1:36" ht="12.95" customHeight="1">
      <c r="A8" s="679" t="str">
        <f>IF(UMYr4!A8&lt;&gt;"",UMYr4!A8,"")</f>
        <v/>
      </c>
      <c r="B8" s="679" t="str">
        <f>IF(UMYr4!B8&lt;&gt;"",UMYr4!B8,"")</f>
        <v/>
      </c>
      <c r="C8" s="680" t="str">
        <f>IF(UMYr1!C8="","",UMYr1!C8)</f>
        <v/>
      </c>
      <c r="D8" s="105">
        <f>Sponsor!H8</f>
        <v>0</v>
      </c>
      <c r="E8" s="7"/>
      <c r="F8" s="7"/>
      <c r="G8" s="7"/>
      <c r="H8" s="7"/>
      <c r="I8" s="7"/>
      <c r="J8" s="29">
        <f t="shared" ref="J8:J13" si="0">SUM(E8:I8)</f>
        <v>0</v>
      </c>
      <c r="K8" s="30">
        <f>D8+J8</f>
        <v>0</v>
      </c>
      <c r="L8" s="7"/>
      <c r="M8" s="7"/>
      <c r="N8" s="30">
        <f t="shared" ref="N8:N13" si="1">SUM(K8:M8)</f>
        <v>0</v>
      </c>
      <c r="O8" s="263">
        <f>UMYr1!D8+UMYr2!D8+UMYr3!D8+UMYr4!D8+UMYr5!D8</f>
        <v>0</v>
      </c>
      <c r="P8" s="264">
        <f>UMYr1!J8+UMYr2!J8+UMYr3!J8+UMYr4!J8+UMYr5!J8</f>
        <v>0</v>
      </c>
      <c r="Q8" s="265">
        <f t="shared" ref="Q8:Q13" si="2">O8+P8</f>
        <v>0</v>
      </c>
      <c r="S8" s="197"/>
      <c r="T8" s="197"/>
      <c r="U8" s="146"/>
      <c r="V8" s="146"/>
      <c r="W8" s="146"/>
      <c r="X8" s="146"/>
      <c r="Y8" s="146"/>
      <c r="Z8" s="146"/>
      <c r="AC8" s="198"/>
      <c r="AD8" s="198"/>
      <c r="AE8" s="198"/>
      <c r="AF8" s="198"/>
      <c r="AG8" s="198"/>
      <c r="AH8" s="198"/>
      <c r="AJ8" s="198"/>
    </row>
    <row r="9" spans="1:36" ht="12.95" customHeight="1">
      <c r="A9" s="679" t="str">
        <f>IF(UMYr4!A9&lt;&gt;"",UMYr4!A9,"")</f>
        <v/>
      </c>
      <c r="B9" s="679" t="str">
        <f>IF(UMYr4!B9&lt;&gt;"",UMYr4!B9,"")</f>
        <v/>
      </c>
      <c r="C9" s="680" t="str">
        <f>IF(UMYr1!C9="","",UMYr1!C9)</f>
        <v/>
      </c>
      <c r="D9" s="106">
        <f>Sponsor!H9</f>
        <v>0</v>
      </c>
      <c r="E9" s="8"/>
      <c r="F9" s="8"/>
      <c r="G9" s="8"/>
      <c r="H9" s="8"/>
      <c r="I9" s="8"/>
      <c r="J9" s="31">
        <f t="shared" si="0"/>
        <v>0</v>
      </c>
      <c r="K9" s="32">
        <f>D9+J9</f>
        <v>0</v>
      </c>
      <c r="L9" s="8"/>
      <c r="M9" s="8"/>
      <c r="N9" s="32">
        <f t="shared" si="1"/>
        <v>0</v>
      </c>
      <c r="O9" s="263">
        <f>UMYr1!D9+UMYr2!D9+UMYr3!D9+UMYr4!D9+UMYr5!D9</f>
        <v>0</v>
      </c>
      <c r="P9" s="264">
        <f>UMYr1!J9+UMYr2!J9+UMYr3!J9+UMYr4!J9+UMYr5!J9</f>
        <v>0</v>
      </c>
      <c r="Q9" s="266">
        <f t="shared" si="2"/>
        <v>0</v>
      </c>
      <c r="S9" s="197"/>
      <c r="T9" s="197"/>
      <c r="U9" s="146"/>
      <c r="V9" s="146"/>
      <c r="W9" s="146"/>
      <c r="X9" s="146"/>
      <c r="Y9" s="146"/>
      <c r="Z9" s="146"/>
      <c r="AC9" s="198"/>
      <c r="AD9" s="198"/>
      <c r="AE9" s="198"/>
      <c r="AF9" s="198"/>
      <c r="AG9" s="198"/>
      <c r="AH9" s="198"/>
      <c r="AJ9" s="198"/>
    </row>
    <row r="10" spans="1:36" ht="12.95" customHeight="1">
      <c r="A10" s="679" t="str">
        <f>IF(UMYr4!A10&lt;&gt;"",UMYr4!A10,"")</f>
        <v/>
      </c>
      <c r="B10" s="679" t="str">
        <f>IF(UMYr4!B10&lt;&gt;"",UMYr4!B10,"")</f>
        <v/>
      </c>
      <c r="C10" s="680" t="str">
        <f>IF(UMYr1!C10="","",UMYr1!C10)</f>
        <v/>
      </c>
      <c r="D10" s="106">
        <f>Sponsor!H10</f>
        <v>0</v>
      </c>
      <c r="E10" s="8"/>
      <c r="F10" s="8"/>
      <c r="G10" s="8"/>
      <c r="H10" s="8"/>
      <c r="I10" s="8"/>
      <c r="J10" s="31">
        <f t="shared" si="0"/>
        <v>0</v>
      </c>
      <c r="K10" s="32">
        <f>D10+J10</f>
        <v>0</v>
      </c>
      <c r="L10" s="8"/>
      <c r="M10" s="8"/>
      <c r="N10" s="32">
        <f t="shared" si="1"/>
        <v>0</v>
      </c>
      <c r="O10" s="263">
        <f>UMYr1!D10+UMYr2!D10+UMYr3!D10+UMYr4!D10+UMYr5!D10</f>
        <v>0</v>
      </c>
      <c r="P10" s="264">
        <f>UMYr1!J10+UMYr2!J10+UMYr3!J10+UMYr4!J10+UMYr5!J10</f>
        <v>0</v>
      </c>
      <c r="Q10" s="266">
        <f t="shared" si="2"/>
        <v>0</v>
      </c>
      <c r="S10" s="197"/>
      <c r="T10" s="197"/>
      <c r="U10" s="146"/>
      <c r="V10" s="146"/>
      <c r="W10" s="146"/>
      <c r="X10" s="146"/>
      <c r="Y10" s="146"/>
      <c r="Z10" s="146"/>
      <c r="AA10" s="146"/>
      <c r="AC10" s="198"/>
      <c r="AD10" s="198"/>
      <c r="AE10" s="198"/>
      <c r="AF10" s="198"/>
      <c r="AG10" s="198"/>
      <c r="AH10" s="198"/>
      <c r="AJ10" s="198"/>
    </row>
    <row r="11" spans="1:36" ht="12.95" customHeight="1">
      <c r="A11" s="679" t="str">
        <f>IF(UMYr4!A11&lt;&gt;"",UMYr4!A11,"")</f>
        <v/>
      </c>
      <c r="B11" s="679" t="str">
        <f>IF(UMYr4!B11&lt;&gt;"",UMYr4!B11,"")</f>
        <v/>
      </c>
      <c r="C11" s="680" t="str">
        <f>IF(UMYr1!C11="","",UMYr1!C11)</f>
        <v/>
      </c>
      <c r="D11" s="106">
        <f>Sponsor!H11</f>
        <v>0</v>
      </c>
      <c r="E11" s="8"/>
      <c r="F11" s="8"/>
      <c r="G11" s="8"/>
      <c r="H11" s="8"/>
      <c r="I11" s="8"/>
      <c r="J11" s="31">
        <f t="shared" si="0"/>
        <v>0</v>
      </c>
      <c r="K11" s="32">
        <f>D11+J11</f>
        <v>0</v>
      </c>
      <c r="L11" s="8"/>
      <c r="M11" s="8"/>
      <c r="N11" s="32">
        <f t="shared" si="1"/>
        <v>0</v>
      </c>
      <c r="O11" s="263">
        <f>UMYr1!D11+UMYr2!D11+UMYr3!D11+UMYr4!D11+UMYr5!D11</f>
        <v>0</v>
      </c>
      <c r="P11" s="264">
        <f>UMYr1!J11+UMYr2!J11+UMYr3!J11+UMYr4!J11+UMYr5!J11</f>
        <v>0</v>
      </c>
      <c r="Q11" s="266">
        <f t="shared" si="2"/>
        <v>0</v>
      </c>
      <c r="S11" s="197"/>
      <c r="T11" s="197"/>
      <c r="U11" s="146"/>
      <c r="V11" s="146"/>
      <c r="W11" s="146"/>
      <c r="X11" s="146"/>
      <c r="Y11" s="146"/>
      <c r="Z11" s="146"/>
      <c r="AC11" s="198"/>
      <c r="AD11" s="198"/>
      <c r="AE11" s="198"/>
      <c r="AF11" s="198"/>
      <c r="AG11" s="198"/>
      <c r="AH11" s="198"/>
      <c r="AJ11" s="198"/>
    </row>
    <row r="12" spans="1:36" ht="12.95" customHeight="1">
      <c r="A12" s="679" t="str">
        <f>IF(UMYr4!A12&lt;&gt;"",UMYr4!A12,"")</f>
        <v>Below</v>
      </c>
      <c r="B12" s="879" t="s">
        <v>469</v>
      </c>
      <c r="C12" s="763"/>
      <c r="D12" s="25">
        <f>Sponsor!H12</f>
        <v>0</v>
      </c>
      <c r="E12" s="33">
        <f>E102</f>
        <v>0</v>
      </c>
      <c r="F12" s="23">
        <f>F102</f>
        <v>0</v>
      </c>
      <c r="G12" s="23">
        <f>G102</f>
        <v>0</v>
      </c>
      <c r="H12" s="23">
        <f>H102</f>
        <v>0</v>
      </c>
      <c r="I12" s="23">
        <f>I102</f>
        <v>0</v>
      </c>
      <c r="J12" s="31">
        <f t="shared" si="0"/>
        <v>0</v>
      </c>
      <c r="K12" s="25">
        <f>K102</f>
        <v>0</v>
      </c>
      <c r="L12" s="33">
        <f>L102</f>
        <v>0</v>
      </c>
      <c r="M12" s="23">
        <f>M102</f>
        <v>0</v>
      </c>
      <c r="N12" s="25">
        <f t="shared" si="1"/>
        <v>0</v>
      </c>
      <c r="O12" s="263">
        <f>UMYr1!D12+UMYr2!D12+UMYr3!D12+UMYr4!D12+UMYr5!D12</f>
        <v>0</v>
      </c>
      <c r="P12" s="264">
        <f>UMYr1!J12+UMYr2!J12+UMYr3!J12+UMYr4!J12+UMYr5!J12</f>
        <v>0</v>
      </c>
      <c r="Q12" s="266">
        <f t="shared" si="2"/>
        <v>0</v>
      </c>
      <c r="S12" s="197"/>
      <c r="T12" s="197"/>
      <c r="AJ12" s="198"/>
    </row>
    <row r="13" spans="1:36" ht="12.95" customHeight="1">
      <c r="A13" s="5" t="str">
        <f>IF(UMYr4!A13&lt;&gt;"",UMYr4!A13,"")</f>
        <v/>
      </c>
      <c r="B13" s="752" t="s">
        <v>473</v>
      </c>
      <c r="C13" s="753"/>
      <c r="D13" s="26">
        <f>Sponsor!H13</f>
        <v>0</v>
      </c>
      <c r="E13" s="34">
        <f>SUM(E8:E12)</f>
        <v>0</v>
      </c>
      <c r="F13" s="34">
        <f>SUM(F8:F12)</f>
        <v>0</v>
      </c>
      <c r="G13" s="34">
        <f>SUM(G8:G12)</f>
        <v>0</v>
      </c>
      <c r="H13" s="34">
        <f>SUM(H8:H12)</f>
        <v>0</v>
      </c>
      <c r="I13" s="34">
        <f>SUM(I8:I12)</f>
        <v>0</v>
      </c>
      <c r="J13" s="31">
        <f t="shared" si="0"/>
        <v>0</v>
      </c>
      <c r="K13" s="26">
        <f>SUM(K8:K12)</f>
        <v>0</v>
      </c>
      <c r="L13" s="35">
        <f>SUM(L8:L12)</f>
        <v>0</v>
      </c>
      <c r="M13" s="34">
        <f>SUM(M8:M12)</f>
        <v>0</v>
      </c>
      <c r="N13" s="26">
        <f t="shared" si="1"/>
        <v>0</v>
      </c>
      <c r="O13" s="263">
        <f>UMYr1!D13+UMYr2!D13+UMYr3!D13+UMYr4!D13+UMYr5!D13</f>
        <v>0</v>
      </c>
      <c r="P13" s="264">
        <f>UMYr1!J13+UMYr2!J13+UMYr3!J13+UMYr4!J13+UMYr5!J13</f>
        <v>0</v>
      </c>
      <c r="Q13" s="311">
        <f t="shared" si="2"/>
        <v>0</v>
      </c>
      <c r="U13" s="146"/>
      <c r="V13" s="146"/>
      <c r="W13" s="146"/>
      <c r="X13" s="146"/>
      <c r="Y13" s="146"/>
      <c r="Z13" s="146"/>
      <c r="AC13" s="198"/>
      <c r="AD13" s="198"/>
      <c r="AE13" s="198"/>
      <c r="AF13" s="198"/>
      <c r="AG13" s="198"/>
      <c r="AH13" s="198"/>
      <c r="AJ13" s="198"/>
    </row>
    <row r="14" spans="1:36" ht="12.95" customHeight="1">
      <c r="A14" s="5" t="str">
        <f>IF(UMYr4!A14&lt;&gt;"",UMYr4!A14,"")</f>
        <v/>
      </c>
      <c r="B14" s="14" t="str">
        <f>IF(UMYr1!B14="","",UMYr1!B14)</f>
        <v>OTHER PERSONNEL - account codes must be entered in Sponsor tab</v>
      </c>
      <c r="C14" s="28"/>
      <c r="D14" s="28"/>
      <c r="E14" s="28"/>
      <c r="F14" s="28"/>
      <c r="G14" s="28"/>
      <c r="H14" s="28"/>
      <c r="I14" s="28"/>
      <c r="J14" s="28"/>
      <c r="K14" s="28"/>
      <c r="L14" s="28"/>
      <c r="M14" s="28"/>
      <c r="N14" s="190"/>
      <c r="O14" s="1051"/>
      <c r="P14" s="1047"/>
      <c r="Q14" s="1028"/>
      <c r="U14" s="146"/>
      <c r="V14" s="146"/>
      <c r="W14" s="146"/>
      <c r="X14" s="146"/>
      <c r="Y14" s="146"/>
      <c r="Z14" s="146"/>
      <c r="AC14" s="198"/>
      <c r="AD14" s="198"/>
      <c r="AE14" s="198"/>
      <c r="AF14" s="198"/>
      <c r="AG14" s="198"/>
      <c r="AH14" s="198"/>
      <c r="AJ14" s="198"/>
    </row>
    <row r="15" spans="1:36" ht="12.95" customHeight="1">
      <c r="A15" s="679">
        <f>IF(UMYr4!A15&lt;&gt;"",UMYr4!A15,"")</f>
        <v>51100</v>
      </c>
      <c r="B15" s="679" t="str">
        <f>IF(UMYr4!B15&lt;&gt;"",UMYr4!B15,"")</f>
        <v/>
      </c>
      <c r="C15" s="36" t="str">
        <f>UMYr1!C15</f>
        <v>Post Doctoral Associates</v>
      </c>
      <c r="D15" s="105">
        <f>Sponsor!H15</f>
        <v>0</v>
      </c>
      <c r="E15" s="8"/>
      <c r="F15" s="8"/>
      <c r="G15" s="8"/>
      <c r="H15" s="8"/>
      <c r="I15" s="8"/>
      <c r="J15" s="31">
        <f t="shared" ref="J15:J26" si="3">SUM(E15:I15)</f>
        <v>0</v>
      </c>
      <c r="K15" s="30">
        <f t="shared" ref="K15:K26" si="4">D15+J15</f>
        <v>0</v>
      </c>
      <c r="L15" s="8"/>
      <c r="M15" s="8"/>
      <c r="N15" s="30">
        <f t="shared" ref="N15:N26" si="5">SUM(K15:M15)</f>
        <v>0</v>
      </c>
      <c r="O15" s="263">
        <f>UMYr1!D15+UMYr2!D15+UMYr3!D15+UMYr4!D15+UMYr5!D15</f>
        <v>0</v>
      </c>
      <c r="P15" s="264">
        <f>UMYr1!J15+UMYr2!J15+UMYr3!J15+UMYr4!J15+UMYr5!J15</f>
        <v>0</v>
      </c>
      <c r="Q15" s="265">
        <f t="shared" ref="Q15:Q26" si="6">O15+P15</f>
        <v>0</v>
      </c>
      <c r="U15" s="146"/>
      <c r="V15" s="146"/>
      <c r="W15" s="146"/>
      <c r="X15" s="146"/>
      <c r="Y15" s="146"/>
      <c r="Z15" s="146"/>
      <c r="AA15" s="146"/>
      <c r="AC15" s="198"/>
      <c r="AD15" s="198"/>
      <c r="AE15" s="198"/>
      <c r="AF15" s="198"/>
      <c r="AG15" s="198"/>
      <c r="AH15" s="198"/>
      <c r="AJ15" s="198"/>
    </row>
    <row r="16" spans="1:36" ht="12.95" customHeight="1">
      <c r="A16" s="679">
        <f>IF(UMYr4!A16&lt;&gt;"",UMYr4!A16,"")</f>
        <v>51100</v>
      </c>
      <c r="B16" s="679" t="str">
        <f>IF(UMYr4!B16&lt;&gt;"",UMYr4!B16,"")</f>
        <v/>
      </c>
      <c r="C16" s="37" t="str">
        <f>UMYr1!C16</f>
        <v>Other Professionals</v>
      </c>
      <c r="D16" s="106">
        <f>Sponsor!H16</f>
        <v>0</v>
      </c>
      <c r="E16" s="8"/>
      <c r="F16" s="8"/>
      <c r="G16" s="8"/>
      <c r="H16" s="8"/>
      <c r="I16" s="8"/>
      <c r="J16" s="31">
        <f t="shared" si="3"/>
        <v>0</v>
      </c>
      <c r="K16" s="32">
        <f t="shared" si="4"/>
        <v>0</v>
      </c>
      <c r="L16" s="8"/>
      <c r="M16" s="8"/>
      <c r="N16" s="32">
        <f t="shared" si="5"/>
        <v>0</v>
      </c>
      <c r="O16" s="263">
        <f>UMYr1!D16+UMYr2!D16+UMYr3!D16+UMYr4!D16+UMYr5!D16</f>
        <v>0</v>
      </c>
      <c r="P16" s="264">
        <f>UMYr1!J16+UMYr2!J16+UMYr3!J16+UMYr4!J16+UMYr5!J16</f>
        <v>0</v>
      </c>
      <c r="Q16" s="266">
        <f t="shared" si="6"/>
        <v>0</v>
      </c>
      <c r="U16" s="146"/>
      <c r="V16" s="146"/>
      <c r="W16" s="146"/>
      <c r="X16" s="146"/>
      <c r="Y16" s="146"/>
      <c r="Z16" s="146"/>
      <c r="AC16" s="198"/>
      <c r="AD16" s="198"/>
      <c r="AE16" s="198"/>
      <c r="AF16" s="198"/>
      <c r="AG16" s="198"/>
      <c r="AH16" s="198"/>
      <c r="AJ16" s="198"/>
    </row>
    <row r="17" spans="1:36" ht="12.95" customHeight="1">
      <c r="A17" s="679">
        <f>IF(UMYr4!A17&lt;&gt;"",UMYr4!A17,"")</f>
        <v>53601</v>
      </c>
      <c r="B17" s="679" t="str">
        <f>IF(UMYr4!B17&lt;&gt;"",UMYr4!B17,"")</f>
        <v/>
      </c>
      <c r="C17" s="37" t="str">
        <f>UMYr1!C17</f>
        <v>Graduate Students</v>
      </c>
      <c r="D17" s="106">
        <f>Sponsor!H17</f>
        <v>0</v>
      </c>
      <c r="E17" s="8"/>
      <c r="F17" s="8"/>
      <c r="G17" s="8"/>
      <c r="H17" s="8"/>
      <c r="I17" s="8"/>
      <c r="J17" s="31">
        <f t="shared" si="3"/>
        <v>0</v>
      </c>
      <c r="K17" s="32">
        <f t="shared" si="4"/>
        <v>0</v>
      </c>
      <c r="L17" s="8"/>
      <c r="M17" s="8"/>
      <c r="N17" s="32">
        <f t="shared" si="5"/>
        <v>0</v>
      </c>
      <c r="O17" s="263">
        <f>UMYr1!D17+UMYr2!D17+UMYr3!D17+UMYr4!D17+UMYr5!D17</f>
        <v>0</v>
      </c>
      <c r="P17" s="264">
        <f>UMYr1!J17+UMYr2!J17+UMYr3!J17+UMYr4!J17+UMYr5!J17</f>
        <v>0</v>
      </c>
      <c r="Q17" s="266">
        <f t="shared" si="6"/>
        <v>0</v>
      </c>
      <c r="U17" s="146"/>
      <c r="V17" s="146"/>
      <c r="W17" s="146"/>
      <c r="X17" s="146"/>
      <c r="Y17" s="146"/>
      <c r="Z17" s="146"/>
      <c r="AC17" s="198"/>
      <c r="AD17" s="198"/>
      <c r="AE17" s="198"/>
      <c r="AF17" s="198"/>
      <c r="AG17" s="198"/>
      <c r="AH17" s="198"/>
      <c r="AJ17" s="198"/>
    </row>
    <row r="18" spans="1:36" ht="12.95" customHeight="1">
      <c r="A18" s="679">
        <f>IF(UMYr4!A18&lt;&gt;"",UMYr4!A18,"")</f>
        <v>53300</v>
      </c>
      <c r="B18" s="679" t="str">
        <f>IF(UMYr4!B18&lt;&gt;"",UMYr4!B18,"")</f>
        <v/>
      </c>
      <c r="C18" s="37" t="str">
        <f>UMYr1!C18</f>
        <v>Undergraduate Students</v>
      </c>
      <c r="D18" s="106">
        <f>Sponsor!H18</f>
        <v>0</v>
      </c>
      <c r="E18" s="8"/>
      <c r="F18" s="8"/>
      <c r="G18" s="8"/>
      <c r="H18" s="8"/>
      <c r="I18" s="8"/>
      <c r="J18" s="31">
        <f t="shared" si="3"/>
        <v>0</v>
      </c>
      <c r="K18" s="32">
        <f t="shared" si="4"/>
        <v>0</v>
      </c>
      <c r="L18" s="8"/>
      <c r="M18" s="8"/>
      <c r="N18" s="32">
        <f t="shared" si="5"/>
        <v>0</v>
      </c>
      <c r="O18" s="263">
        <f>UMYr1!D18+UMYr2!D18+UMYr3!D18+UMYr4!D18+UMYr5!D18</f>
        <v>0</v>
      </c>
      <c r="P18" s="264">
        <f>UMYr1!J18+UMYr2!J18+UMYr3!J18+UMYr4!J18+UMYr5!J18</f>
        <v>0</v>
      </c>
      <c r="Q18" s="266">
        <f t="shared" si="6"/>
        <v>0</v>
      </c>
      <c r="U18" s="146"/>
      <c r="V18" s="146"/>
      <c r="W18" s="146"/>
      <c r="X18" s="146"/>
      <c r="Y18" s="146"/>
      <c r="Z18" s="146"/>
      <c r="AC18" s="198"/>
      <c r="AD18" s="198"/>
      <c r="AE18" s="198"/>
      <c r="AF18" s="198"/>
      <c r="AG18" s="198"/>
      <c r="AH18" s="198"/>
      <c r="AJ18" s="198"/>
    </row>
    <row r="19" spans="1:36" ht="12.95" customHeight="1">
      <c r="A19" s="679">
        <f>IF(UMYr4!A19&lt;&gt;"",UMYr4!A19,"")</f>
        <v>52200</v>
      </c>
      <c r="B19" s="679" t="str">
        <f>IF(UMYr4!B19&lt;&gt;"",UMYr4!B19,"")</f>
        <v/>
      </c>
      <c r="C19" s="37" t="str">
        <f>UMYr1!C19</f>
        <v>Regular Classified Employees</v>
      </c>
      <c r="D19" s="106">
        <f>Sponsor!H19</f>
        <v>0</v>
      </c>
      <c r="E19" s="8"/>
      <c r="F19" s="8"/>
      <c r="G19" s="8"/>
      <c r="H19" s="8"/>
      <c r="I19" s="8"/>
      <c r="J19" s="31">
        <f t="shared" si="3"/>
        <v>0</v>
      </c>
      <c r="K19" s="32">
        <f t="shared" si="4"/>
        <v>0</v>
      </c>
      <c r="L19" s="8"/>
      <c r="M19" s="8"/>
      <c r="N19" s="32">
        <f t="shared" si="5"/>
        <v>0</v>
      </c>
      <c r="O19" s="263">
        <f>UMYr1!D19+UMYr2!D19+UMYr3!D19+UMYr4!D19+UMYr5!D19</f>
        <v>0</v>
      </c>
      <c r="P19" s="264">
        <f>UMYr1!J19+UMYr2!J19+UMYr3!J19+UMYr4!J19+UMYr5!J19</f>
        <v>0</v>
      </c>
      <c r="Q19" s="266">
        <f t="shared" si="6"/>
        <v>0</v>
      </c>
      <c r="U19" s="146"/>
      <c r="V19" s="146"/>
      <c r="W19" s="146"/>
      <c r="X19" s="146"/>
      <c r="Y19" s="146"/>
      <c r="Z19" s="146"/>
      <c r="AA19" s="146"/>
      <c r="AC19" s="198"/>
      <c r="AD19" s="198"/>
      <c r="AE19" s="198"/>
      <c r="AF19" s="198"/>
      <c r="AG19" s="198"/>
      <c r="AH19" s="198"/>
      <c r="AJ19" s="198"/>
    </row>
    <row r="20" spans="1:36" ht="12.95" customHeight="1">
      <c r="A20" s="679">
        <f>IF(UMYr4!A20&lt;&gt;"",UMYr4!A20,"")</f>
        <v>51012</v>
      </c>
      <c r="B20" s="679" t="str">
        <f>IF(UMYr4!B20&lt;&gt;"",UMYr4!B20,"")</f>
        <v/>
      </c>
      <c r="C20" s="37" t="str">
        <f>UMYr1!C20</f>
        <v>Non-faculty Temp Employees</v>
      </c>
      <c r="D20" s="106">
        <f>Sponsor!H20</f>
        <v>0</v>
      </c>
      <c r="E20" s="8"/>
      <c r="F20" s="8"/>
      <c r="G20" s="8"/>
      <c r="H20" s="8"/>
      <c r="I20" s="8"/>
      <c r="J20" s="31">
        <f t="shared" si="3"/>
        <v>0</v>
      </c>
      <c r="K20" s="32">
        <f t="shared" si="4"/>
        <v>0</v>
      </c>
      <c r="L20" s="8"/>
      <c r="M20" s="8"/>
      <c r="N20" s="32">
        <f t="shared" si="5"/>
        <v>0</v>
      </c>
      <c r="O20" s="263">
        <f>UMYr1!D20+UMYr2!D20+UMYr3!D20+UMYr4!D20+UMYr5!D20</f>
        <v>0</v>
      </c>
      <c r="P20" s="264">
        <f>UMYr1!J20+UMYr2!J20+UMYr3!J20+UMYr4!J20+UMYr5!J20</f>
        <v>0</v>
      </c>
      <c r="Q20" s="266">
        <f t="shared" si="6"/>
        <v>0</v>
      </c>
      <c r="U20" s="146"/>
      <c r="V20" s="146"/>
      <c r="W20" s="146"/>
      <c r="X20" s="146"/>
      <c r="Y20" s="146"/>
      <c r="Z20" s="146"/>
      <c r="AC20" s="198"/>
      <c r="AD20" s="198"/>
      <c r="AE20" s="198"/>
      <c r="AF20" s="198"/>
      <c r="AG20" s="198"/>
      <c r="AH20" s="198"/>
      <c r="AJ20" s="198"/>
    </row>
    <row r="21" spans="1:36" ht="12.95" customHeight="1">
      <c r="A21" s="679">
        <f>IF(UMYr4!A21&lt;&gt;"",UMYr4!A21,"")</f>
        <v>52012</v>
      </c>
      <c r="B21" s="679" t="str">
        <f>IF(UMYr4!B21&lt;&gt;"",UMYr4!B21,"")</f>
        <v/>
      </c>
      <c r="C21" s="37" t="str">
        <f>UMYr1!C21</f>
        <v>Temp Classified Employees</v>
      </c>
      <c r="D21" s="106">
        <f>Sponsor!H21</f>
        <v>0</v>
      </c>
      <c r="E21" s="8"/>
      <c r="F21" s="8"/>
      <c r="G21" s="8"/>
      <c r="H21" s="8"/>
      <c r="I21" s="8"/>
      <c r="J21" s="31">
        <f t="shared" si="3"/>
        <v>0</v>
      </c>
      <c r="K21" s="32">
        <f t="shared" si="4"/>
        <v>0</v>
      </c>
      <c r="L21" s="8"/>
      <c r="M21" s="8"/>
      <c r="N21" s="32">
        <f t="shared" si="5"/>
        <v>0</v>
      </c>
      <c r="O21" s="263">
        <f>UMYr1!D21+UMYr2!D21+UMYr3!D21+UMYr4!D21+UMYr5!D21</f>
        <v>0</v>
      </c>
      <c r="P21" s="264">
        <f>UMYr1!J21+UMYr2!J21+UMYr3!J21+UMYr4!J21+UMYr5!J21</f>
        <v>0</v>
      </c>
      <c r="Q21" s="266">
        <f t="shared" si="6"/>
        <v>0</v>
      </c>
      <c r="U21" s="146"/>
      <c r="V21" s="146"/>
      <c r="W21" s="146"/>
      <c r="X21" s="146"/>
      <c r="Y21" s="146"/>
      <c r="Z21" s="146"/>
      <c r="AC21" s="198"/>
      <c r="AD21" s="198"/>
      <c r="AE21" s="198"/>
      <c r="AF21" s="198"/>
      <c r="AG21" s="198"/>
      <c r="AH21" s="198"/>
      <c r="AJ21" s="198"/>
    </row>
    <row r="22" spans="1:36" ht="12.95" customHeight="1">
      <c r="A22" s="679" t="str">
        <f>IF(UMYr4!A22&lt;&gt;"",UMYr4!A22,"")</f>
        <v/>
      </c>
      <c r="B22" s="679" t="str">
        <f>IF(UMYr4!B22&lt;&gt;"",UMYr4!B22,"")</f>
        <v>****</v>
      </c>
      <c r="C22" s="37" t="str">
        <f>UMYr1!C22</f>
        <v>Other</v>
      </c>
      <c r="D22" s="106">
        <f>Sponsor!H22</f>
        <v>0</v>
      </c>
      <c r="E22" s="8"/>
      <c r="F22" s="8"/>
      <c r="G22" s="8"/>
      <c r="H22" s="8"/>
      <c r="I22" s="8"/>
      <c r="J22" s="31">
        <f t="shared" si="3"/>
        <v>0</v>
      </c>
      <c r="K22" s="32">
        <f t="shared" si="4"/>
        <v>0</v>
      </c>
      <c r="L22" s="8"/>
      <c r="M22" s="8"/>
      <c r="N22" s="32">
        <f t="shared" si="5"/>
        <v>0</v>
      </c>
      <c r="O22" s="263">
        <f>UMYr1!D22+UMYr2!D22+UMYr3!D22+UMYr4!D22+UMYr5!D22</f>
        <v>0</v>
      </c>
      <c r="P22" s="264">
        <f>UMYr1!J22+UMYr2!J22+UMYr3!J22+UMYr4!J22+UMYr5!J22</f>
        <v>0</v>
      </c>
      <c r="Q22" s="266">
        <f t="shared" si="6"/>
        <v>0</v>
      </c>
      <c r="U22" s="146"/>
      <c r="V22" s="146"/>
      <c r="W22" s="146"/>
      <c r="X22" s="146"/>
      <c r="Y22" s="146"/>
      <c r="Z22" s="146"/>
      <c r="AC22" s="198"/>
      <c r="AD22" s="198"/>
      <c r="AE22" s="198"/>
      <c r="AF22" s="198"/>
      <c r="AG22" s="198"/>
      <c r="AH22" s="198"/>
      <c r="AJ22" s="198"/>
    </row>
    <row r="23" spans="1:36" ht="12.95" customHeight="1">
      <c r="A23" s="5" t="str">
        <f>IF(UMYr4!A23&lt;&gt;"",UMYr4!A23,"")</f>
        <v/>
      </c>
      <c r="B23" s="789" t="s">
        <v>494</v>
      </c>
      <c r="C23" s="763"/>
      <c r="D23" s="25">
        <f>Sponsor!H23</f>
        <v>0</v>
      </c>
      <c r="E23" s="23">
        <f>SUM(E15:E22)+E13</f>
        <v>0</v>
      </c>
      <c r="F23" s="23">
        <f>SUM(F15:F22)+F13</f>
        <v>0</v>
      </c>
      <c r="G23" s="23">
        <f>SUM(G15:G22)+G13</f>
        <v>0</v>
      </c>
      <c r="H23" s="23">
        <f>SUM(H15:H22)+H13</f>
        <v>0</v>
      </c>
      <c r="I23" s="23">
        <f>SUM(I15:I22)+I13</f>
        <v>0</v>
      </c>
      <c r="J23" s="31">
        <f t="shared" si="3"/>
        <v>0</v>
      </c>
      <c r="K23" s="32">
        <f t="shared" si="4"/>
        <v>0</v>
      </c>
      <c r="L23" s="23">
        <f>SUM(L15:L22)+L13</f>
        <v>0</v>
      </c>
      <c r="M23" s="23">
        <f>SUM(M15:M22)+M13</f>
        <v>0</v>
      </c>
      <c r="N23" s="25">
        <f t="shared" si="5"/>
        <v>0</v>
      </c>
      <c r="O23" s="263">
        <f>UMYr1!D23+UMYr2!D23+UMYr3!D23+UMYr4!D23+UMYr5!D23</f>
        <v>0</v>
      </c>
      <c r="P23" s="264">
        <f>UMYr1!J23+UMYr2!J23+UMYr3!J23+UMYr4!J23+UMYr5!J23</f>
        <v>0</v>
      </c>
      <c r="Q23" s="266">
        <f t="shared" si="6"/>
        <v>0</v>
      </c>
      <c r="U23" s="146"/>
      <c r="V23" s="146"/>
      <c r="W23" s="146"/>
      <c r="X23" s="146"/>
      <c r="Y23" s="146"/>
      <c r="Z23" s="146"/>
      <c r="AA23" s="146"/>
      <c r="AC23" s="198"/>
      <c r="AD23" s="198"/>
      <c r="AE23" s="198"/>
      <c r="AF23" s="198"/>
      <c r="AG23" s="198"/>
      <c r="AH23" s="198"/>
      <c r="AJ23" s="198"/>
    </row>
    <row r="24" spans="1:36" ht="12.95" customHeight="1">
      <c r="A24" s="679">
        <f>IF(UMYr4!A24&lt;&gt;"",UMYr4!A24,"")</f>
        <v>54800</v>
      </c>
      <c r="B24" s="679" t="str">
        <f>IF(UMYr4!B24&lt;&gt;"",UMYr4!B24,"")</f>
        <v/>
      </c>
      <c r="C24" s="37" t="s">
        <v>496</v>
      </c>
      <c r="D24" s="25">
        <f>Sponsor!H24</f>
        <v>0</v>
      </c>
      <c r="E24" s="23">
        <f t="shared" ref="E24:I25" si="7">E73</f>
        <v>0</v>
      </c>
      <c r="F24" s="23">
        <f t="shared" si="7"/>
        <v>0</v>
      </c>
      <c r="G24" s="23">
        <f t="shared" si="7"/>
        <v>0</v>
      </c>
      <c r="H24" s="23">
        <f t="shared" si="7"/>
        <v>0</v>
      </c>
      <c r="I24" s="23">
        <f t="shared" si="7"/>
        <v>0</v>
      </c>
      <c r="J24" s="31">
        <f t="shared" si="3"/>
        <v>0</v>
      </c>
      <c r="K24" s="32">
        <f t="shared" si="4"/>
        <v>0</v>
      </c>
      <c r="L24" s="23">
        <f>L73</f>
        <v>0</v>
      </c>
      <c r="M24" s="23">
        <f>M73</f>
        <v>0</v>
      </c>
      <c r="N24" s="25">
        <f t="shared" si="5"/>
        <v>0</v>
      </c>
      <c r="O24" s="263">
        <f>UMYr1!D24+UMYr2!D24+UMYr3!D24+UMYr4!D24+UMYr5!D24</f>
        <v>0</v>
      </c>
      <c r="P24" s="264">
        <f>UMYr1!J24+UMYr2!J24+UMYr3!J24+UMYr4!J24+UMYr5!J24</f>
        <v>0</v>
      </c>
      <c r="Q24" s="266">
        <f t="shared" si="6"/>
        <v>0</v>
      </c>
      <c r="U24" s="146"/>
      <c r="V24" s="146"/>
      <c r="W24" s="146"/>
      <c r="X24" s="146"/>
      <c r="Y24" s="146"/>
      <c r="Z24" s="146"/>
      <c r="AC24" s="198"/>
      <c r="AD24" s="198"/>
      <c r="AE24" s="198"/>
      <c r="AF24" s="198"/>
      <c r="AG24" s="198"/>
      <c r="AH24" s="198"/>
      <c r="AJ24" s="198"/>
    </row>
    <row r="25" spans="1:36" ht="12.95" customHeight="1">
      <c r="A25" s="679">
        <f>IF(UMYr4!A25&lt;&gt;"",UMYr4!A25,"")</f>
        <v>54810</v>
      </c>
      <c r="B25" s="679" t="str">
        <f>IF(UMYr4!B25&lt;&gt;"",UMYr4!B25,"")</f>
        <v/>
      </c>
      <c r="C25" s="208" t="s">
        <v>650</v>
      </c>
      <c r="D25" s="25">
        <f>Sponsor!H25</f>
        <v>0</v>
      </c>
      <c r="E25" s="23">
        <f t="shared" si="7"/>
        <v>0</v>
      </c>
      <c r="F25" s="23">
        <f t="shared" si="7"/>
        <v>0</v>
      </c>
      <c r="G25" s="23">
        <f t="shared" si="7"/>
        <v>0</v>
      </c>
      <c r="H25" s="23">
        <f t="shared" si="7"/>
        <v>0</v>
      </c>
      <c r="I25" s="23">
        <f t="shared" si="7"/>
        <v>0</v>
      </c>
      <c r="J25" s="31">
        <f t="shared" si="3"/>
        <v>0</v>
      </c>
      <c r="K25" s="32">
        <f t="shared" si="4"/>
        <v>0</v>
      </c>
      <c r="L25" s="23">
        <f>L74</f>
        <v>0</v>
      </c>
      <c r="M25" s="23">
        <f>M74</f>
        <v>0</v>
      </c>
      <c r="N25" s="25">
        <f t="shared" si="5"/>
        <v>0</v>
      </c>
      <c r="O25" s="263">
        <f>UMYr1!D25+UMYr2!D25+UMYr3!D25+UMYr4!D25+UMYr5!D25</f>
        <v>0</v>
      </c>
      <c r="P25" s="264">
        <f>UMYr1!J25+UMYr2!J25+UMYr3!J25+UMYr4!J25+UMYr5!J25</f>
        <v>0</v>
      </c>
      <c r="Q25" s="266">
        <f t="shared" si="6"/>
        <v>0</v>
      </c>
      <c r="U25" s="146"/>
      <c r="V25" s="146"/>
      <c r="W25" s="146"/>
      <c r="X25" s="146"/>
      <c r="Y25" s="146"/>
      <c r="Z25" s="146"/>
      <c r="AC25" s="198"/>
      <c r="AD25" s="198"/>
      <c r="AE25" s="198"/>
      <c r="AF25" s="198"/>
      <c r="AG25" s="198"/>
      <c r="AH25" s="198"/>
      <c r="AJ25" s="198"/>
    </row>
    <row r="26" spans="1:36" ht="12.95" customHeight="1">
      <c r="A26" s="5" t="str">
        <f>IF(UMYr4!A26&lt;&gt;"",UMYr4!A26,"")</f>
        <v/>
      </c>
      <c r="B26" s="817" t="s">
        <v>502</v>
      </c>
      <c r="C26" s="775"/>
      <c r="D26" s="26">
        <f>Sponsor!H26</f>
        <v>0</v>
      </c>
      <c r="E26" s="34">
        <f>SUM(E23:E25)</f>
        <v>0</v>
      </c>
      <c r="F26" s="34">
        <f>SUM(F23:F25)</f>
        <v>0</v>
      </c>
      <c r="G26" s="34">
        <f>SUM(G23:G25)</f>
        <v>0</v>
      </c>
      <c r="H26" s="34">
        <f>SUM(H23:H25)</f>
        <v>0</v>
      </c>
      <c r="I26" s="34">
        <f>SUM(I23:I25)</f>
        <v>0</v>
      </c>
      <c r="J26" s="31">
        <f t="shared" si="3"/>
        <v>0</v>
      </c>
      <c r="K26" s="32">
        <f t="shared" si="4"/>
        <v>0</v>
      </c>
      <c r="L26" s="34">
        <f>SUM(L23:L25)</f>
        <v>0</v>
      </c>
      <c r="M26" s="34">
        <f>SUM(M23:M25)</f>
        <v>0</v>
      </c>
      <c r="N26" s="26">
        <f t="shared" si="5"/>
        <v>0</v>
      </c>
      <c r="O26" s="263">
        <f>UMYr1!D26+UMYr2!D26+UMYr3!D26+UMYr4!D26+UMYr5!D26</f>
        <v>0</v>
      </c>
      <c r="P26" s="264">
        <f>UMYr1!J26+UMYr2!J26+UMYr3!J26+UMYr4!J26+UMYr5!J26</f>
        <v>0</v>
      </c>
      <c r="Q26" s="311">
        <f t="shared" si="6"/>
        <v>0</v>
      </c>
      <c r="U26" s="146"/>
      <c r="V26" s="146"/>
      <c r="W26" s="146"/>
      <c r="X26" s="146"/>
      <c r="Y26" s="146"/>
      <c r="Z26" s="146"/>
      <c r="AC26" s="198"/>
      <c r="AD26" s="198"/>
      <c r="AE26" s="198"/>
      <c r="AF26" s="198"/>
      <c r="AG26" s="198"/>
      <c r="AH26" s="198"/>
      <c r="AJ26" s="198"/>
    </row>
    <row r="27" spans="1:36" ht="12.95" customHeight="1">
      <c r="A27" s="5" t="str">
        <f>IF(UMYr4!A27&lt;&gt;"",UMYr4!A27,"")</f>
        <v/>
      </c>
      <c r="B27" s="210" t="str">
        <f>IF(UMYr1!B27="","",UMYr1!B27)</f>
        <v>CAPITAL EQUIPMENT OR CONSTRUCTION - descriptions and account codes must be entered in Sponsor tab</v>
      </c>
      <c r="C27" s="28"/>
      <c r="D27" s="28"/>
      <c r="E27" s="28"/>
      <c r="F27" s="28"/>
      <c r="G27" s="28"/>
      <c r="H27" s="28"/>
      <c r="I27" s="28"/>
      <c r="J27" s="28"/>
      <c r="K27" s="28"/>
      <c r="L27" s="28"/>
      <c r="M27" s="28"/>
      <c r="N27" s="190"/>
      <c r="O27" s="1051"/>
      <c r="P27" s="1047"/>
      <c r="Q27" s="1028"/>
      <c r="U27" s="146"/>
      <c r="V27" s="146"/>
      <c r="W27" s="146"/>
      <c r="X27" s="146"/>
      <c r="Y27" s="146"/>
      <c r="Z27" s="146"/>
      <c r="AA27" s="146"/>
      <c r="AC27" s="198"/>
      <c r="AD27" s="198"/>
      <c r="AE27" s="198"/>
      <c r="AF27" s="198"/>
      <c r="AG27" s="198"/>
      <c r="AH27" s="198"/>
      <c r="AJ27" s="198"/>
    </row>
    <row r="28" spans="1:36" ht="12.95" customHeight="1">
      <c r="A28" s="679" t="str">
        <f>IF(UMYr4!A28&lt;&gt;"",UMYr4!A28,"")</f>
        <v/>
      </c>
      <c r="B28" s="679" t="str">
        <f>IF(UMYr4!B28&lt;&gt;"",UMYr4!B28,"")</f>
        <v/>
      </c>
      <c r="C28" s="680"/>
      <c r="D28" s="107">
        <f>Sponsor!H28</f>
        <v>0</v>
      </c>
      <c r="E28" s="9"/>
      <c r="F28" s="9"/>
      <c r="G28" s="9"/>
      <c r="H28" s="9"/>
      <c r="I28" s="9"/>
      <c r="J28" s="40">
        <f>SUM(E28:I28)</f>
        <v>0</v>
      </c>
      <c r="K28" s="32">
        <f>D28+J28</f>
        <v>0</v>
      </c>
      <c r="L28" s="9"/>
      <c r="M28" s="9"/>
      <c r="N28" s="24">
        <f>SUM(K28:M28)</f>
        <v>0</v>
      </c>
      <c r="O28" s="263">
        <f>UMYr1!D28+UMYr2!D28+UMYr3!D28+UMYr4!D28+UMYr5!D28</f>
        <v>0</v>
      </c>
      <c r="P28" s="264">
        <f>UMYr1!J28+UMYr2!J28+UMYr3!J28+UMYr4!J28+UMYr5!J28</f>
        <v>0</v>
      </c>
      <c r="Q28" s="265">
        <f>O28+P28</f>
        <v>0</v>
      </c>
      <c r="AC28" s="198"/>
      <c r="AD28" s="198"/>
      <c r="AE28" s="198"/>
      <c r="AF28" s="198"/>
      <c r="AG28" s="198"/>
      <c r="AH28" s="198"/>
      <c r="AJ28" s="198"/>
    </row>
    <row r="29" spans="1:36" ht="12.95" customHeight="1">
      <c r="A29" s="679" t="str">
        <f>IF(UMYr4!A29&lt;&gt;"",UMYr4!A29,"")</f>
        <v/>
      </c>
      <c r="B29" s="679" t="str">
        <f>IF(UMYr4!B29&lt;&gt;"",UMYr4!B29,"")</f>
        <v/>
      </c>
      <c r="C29" s="680"/>
      <c r="D29" s="108">
        <f>Sponsor!H29</f>
        <v>0</v>
      </c>
      <c r="E29" s="9"/>
      <c r="F29" s="9"/>
      <c r="G29" s="9"/>
      <c r="H29" s="9"/>
      <c r="I29" s="9"/>
      <c r="J29" s="23">
        <f>SUM(E29:I29)</f>
        <v>0</v>
      </c>
      <c r="K29" s="32">
        <f>D29+J29</f>
        <v>0</v>
      </c>
      <c r="L29" s="10"/>
      <c r="M29" s="9"/>
      <c r="N29" s="25">
        <f>SUM(K29:M29)</f>
        <v>0</v>
      </c>
      <c r="O29" s="263">
        <f>UMYr1!D29+UMYr2!D29+UMYr3!D29+UMYr4!D29+UMYr5!D29</f>
        <v>0</v>
      </c>
      <c r="P29" s="264">
        <f>UMYr1!J29+UMYr2!J29+UMYr3!J29+UMYr4!J29+UMYr5!J29</f>
        <v>0</v>
      </c>
      <c r="Q29" s="266">
        <f>O29+P29</f>
        <v>0</v>
      </c>
      <c r="AC29" s="198"/>
      <c r="AD29" s="198"/>
      <c r="AE29" s="198"/>
      <c r="AF29" s="198"/>
      <c r="AG29" s="198"/>
      <c r="AH29" s="198"/>
      <c r="AJ29" s="198"/>
    </row>
    <row r="30" spans="1:36" ht="12.95" customHeight="1">
      <c r="A30" s="679" t="str">
        <f>IF(UMYr4!A30&lt;&gt;"",UMYr4!A30,"")</f>
        <v>Below</v>
      </c>
      <c r="B30" s="789" t="s">
        <v>511</v>
      </c>
      <c r="C30" s="763"/>
      <c r="D30" s="25">
        <f>Sponsor!H30</f>
        <v>0</v>
      </c>
      <c r="E30" s="33">
        <f>E109</f>
        <v>0</v>
      </c>
      <c r="F30" s="23">
        <f>F109</f>
        <v>0</v>
      </c>
      <c r="G30" s="23">
        <f>G109</f>
        <v>0</v>
      </c>
      <c r="H30" s="23">
        <f>H109</f>
        <v>0</v>
      </c>
      <c r="I30" s="23">
        <f>I109</f>
        <v>0</v>
      </c>
      <c r="J30" s="11">
        <f>SUM(E30:I30)</f>
        <v>0</v>
      </c>
      <c r="K30" s="32">
        <f>D30+J30</f>
        <v>0</v>
      </c>
      <c r="L30" s="23">
        <f>L109</f>
        <v>0</v>
      </c>
      <c r="M30" s="23">
        <f>M109</f>
        <v>0</v>
      </c>
      <c r="N30" s="25">
        <f>SUM(K30:M30)</f>
        <v>0</v>
      </c>
      <c r="O30" s="263">
        <f>UMYr1!D30+UMYr2!D30+UMYr3!D30+UMYr4!D30+UMYr5!D30</f>
        <v>0</v>
      </c>
      <c r="P30" s="264">
        <f>UMYr1!J30+UMYr2!J30+UMYr3!J30+UMYr4!J30+UMYr5!J30</f>
        <v>0</v>
      </c>
      <c r="Q30" s="266">
        <f>O30+P30</f>
        <v>0</v>
      </c>
      <c r="AC30" s="198"/>
      <c r="AD30" s="198"/>
      <c r="AE30" s="198"/>
      <c r="AF30" s="198"/>
      <c r="AG30" s="198"/>
      <c r="AH30" s="198"/>
      <c r="AJ30" s="198"/>
    </row>
    <row r="31" spans="1:36" ht="12.95" customHeight="1">
      <c r="A31" s="5" t="str">
        <f>IF(UMYr4!A31&lt;&gt;"",UMYr4!A31,"")</f>
        <v/>
      </c>
      <c r="B31" s="805" t="s">
        <v>514</v>
      </c>
      <c r="C31" s="753"/>
      <c r="D31" s="26">
        <f>Sponsor!H31</f>
        <v>0</v>
      </c>
      <c r="E31" s="34">
        <f>SUM(E28:E30)</f>
        <v>0</v>
      </c>
      <c r="F31" s="34">
        <f>SUM(F28:F30)</f>
        <v>0</v>
      </c>
      <c r="G31" s="34">
        <f>SUM(G28:G30)</f>
        <v>0</v>
      </c>
      <c r="H31" s="34">
        <f>SUM(H28:H30)</f>
        <v>0</v>
      </c>
      <c r="I31" s="34">
        <f>SUM(I28:I30)</f>
        <v>0</v>
      </c>
      <c r="J31" s="31">
        <f>SUM(E31:I31)</f>
        <v>0</v>
      </c>
      <c r="K31" s="32">
        <f>D31+J31</f>
        <v>0</v>
      </c>
      <c r="L31" s="34">
        <f>SUM(L28:L30)</f>
        <v>0</v>
      </c>
      <c r="M31" s="34">
        <f>SUM(M28:M30)</f>
        <v>0</v>
      </c>
      <c r="N31" s="26">
        <f>SUM(K31:M31)</f>
        <v>0</v>
      </c>
      <c r="O31" s="263">
        <f>UMYr1!D31+UMYr2!D31+UMYr3!D31+UMYr4!D31+UMYr5!D31</f>
        <v>0</v>
      </c>
      <c r="P31" s="264">
        <f>UMYr1!J31+UMYr2!J31+UMYr3!J31+UMYr4!J31+UMYr5!J31</f>
        <v>0</v>
      </c>
      <c r="Q31" s="311">
        <f>O31+P31</f>
        <v>0</v>
      </c>
      <c r="AC31" s="198"/>
      <c r="AD31" s="198"/>
      <c r="AE31" s="198"/>
      <c r="AF31" s="198"/>
      <c r="AG31" s="198"/>
      <c r="AH31" s="198"/>
      <c r="AI31" s="235"/>
      <c r="AJ31" s="198"/>
    </row>
    <row r="32" spans="1:36" ht="12.95" customHeight="1">
      <c r="A32" s="5" t="str">
        <f>IF(UMYr4!A32&lt;&gt;"",UMYr4!A32,"")</f>
        <v/>
      </c>
      <c r="B32" s="14" t="str">
        <f>IF(UMYr1!B32="","",UMYr1!B32)</f>
        <v>TRAVEL - account codes must be entered in Sponsor tab</v>
      </c>
      <c r="C32" s="28"/>
      <c r="D32" s="28"/>
      <c r="E32" s="28"/>
      <c r="F32" s="28"/>
      <c r="G32" s="28"/>
      <c r="H32" s="28"/>
      <c r="I32" s="28"/>
      <c r="J32" s="28"/>
      <c r="K32" s="28"/>
      <c r="L32" s="28"/>
      <c r="M32" s="28"/>
      <c r="N32" s="190"/>
      <c r="O32" s="1051"/>
      <c r="P32" s="1047"/>
      <c r="Q32" s="1028"/>
      <c r="AC32" s="198"/>
      <c r="AD32" s="198"/>
      <c r="AE32" s="198"/>
      <c r="AF32" s="198"/>
      <c r="AG32" s="198"/>
      <c r="AH32" s="198"/>
      <c r="AI32" s="235"/>
      <c r="AJ32" s="198"/>
    </row>
    <row r="33" spans="1:36" ht="12.95" customHeight="1">
      <c r="A33" s="679">
        <f>IF(UMYr4!A33&lt;&gt;"",UMYr4!A33,"")</f>
        <v>61400</v>
      </c>
      <c r="B33" s="679" t="str">
        <f>IF(UMYr4!B33&lt;&gt;"",UMYr4!B33,"")</f>
        <v/>
      </c>
      <c r="C33" s="39" t="s">
        <v>518</v>
      </c>
      <c r="D33" s="105">
        <f>Sponsor!H33</f>
        <v>0</v>
      </c>
      <c r="E33" s="8"/>
      <c r="F33" s="8"/>
      <c r="G33" s="8"/>
      <c r="H33" s="8"/>
      <c r="I33" s="8"/>
      <c r="J33" s="31">
        <f>SUM(E33:I33)</f>
        <v>0</v>
      </c>
      <c r="K33" s="32">
        <f>D33+J33</f>
        <v>0</v>
      </c>
      <c r="L33" s="8"/>
      <c r="M33" s="8"/>
      <c r="N33" s="30">
        <f>SUM(K33:M33)</f>
        <v>0</v>
      </c>
      <c r="O33" s="263">
        <f>UMYr1!D33+UMYr2!D33+UMYr3!D33+UMYr4!D33+UMYr5!D33</f>
        <v>0</v>
      </c>
      <c r="P33" s="264">
        <f>UMYr1!J33+UMYr2!J33+UMYr3!J33+UMYr4!J33+UMYr5!J33</f>
        <v>0</v>
      </c>
      <c r="Q33" s="265">
        <f>O33+P33</f>
        <v>0</v>
      </c>
      <c r="AC33" s="198"/>
      <c r="AD33" s="198"/>
      <c r="AE33" s="198"/>
      <c r="AF33" s="198"/>
      <c r="AG33" s="198"/>
      <c r="AH33" s="198"/>
      <c r="AJ33" s="198"/>
    </row>
    <row r="34" spans="1:36" ht="12.95" customHeight="1">
      <c r="A34" s="679">
        <f>IF(UMYr4!A34&lt;&gt;"",UMYr4!A34,"")</f>
        <v>61500</v>
      </c>
      <c r="B34" s="679" t="str">
        <f>IF(UMYr4!B34&lt;&gt;"",UMYr4!B34,"")</f>
        <v/>
      </c>
      <c r="C34" s="27" t="s">
        <v>519</v>
      </c>
      <c r="D34" s="106">
        <f>Sponsor!H34</f>
        <v>0</v>
      </c>
      <c r="E34" s="8"/>
      <c r="F34" s="8"/>
      <c r="G34" s="8"/>
      <c r="H34" s="8"/>
      <c r="I34" s="8"/>
      <c r="J34" s="31">
        <f>SUM(E34:I34)</f>
        <v>0</v>
      </c>
      <c r="K34" s="32">
        <f>D34+J34</f>
        <v>0</v>
      </c>
      <c r="L34" s="8"/>
      <c r="M34" s="8"/>
      <c r="N34" s="32">
        <f>SUM(K34:M34)</f>
        <v>0</v>
      </c>
      <c r="O34" s="263">
        <f>UMYr1!D34+UMYr2!D34+UMYr3!D34+UMYr4!D34+UMYr5!D34</f>
        <v>0</v>
      </c>
      <c r="P34" s="264">
        <f>UMYr1!J34+UMYr2!J34+UMYr3!J34+UMYr4!J34+UMYr5!J34</f>
        <v>0</v>
      </c>
      <c r="Q34" s="266">
        <f>O34+P34</f>
        <v>0</v>
      </c>
      <c r="AC34" s="198"/>
      <c r="AD34" s="198"/>
      <c r="AE34" s="198"/>
      <c r="AF34" s="198"/>
      <c r="AG34" s="198"/>
      <c r="AH34" s="198"/>
      <c r="AJ34" s="198"/>
    </row>
    <row r="35" spans="1:36" ht="12.95" customHeight="1">
      <c r="A35" s="679">
        <f>IF(UMYr4!A35&lt;&gt;"",UMYr4!A35,"")</f>
        <v>61600</v>
      </c>
      <c r="B35" s="679" t="str">
        <f>IF(UMYr4!B35&lt;&gt;"",UMYr4!B35,"")</f>
        <v/>
      </c>
      <c r="C35" s="27" t="s">
        <v>520</v>
      </c>
      <c r="D35" s="106">
        <f>Sponsor!H35</f>
        <v>0</v>
      </c>
      <c r="E35" s="8"/>
      <c r="F35" s="8"/>
      <c r="G35" s="8"/>
      <c r="H35" s="8"/>
      <c r="I35" s="8"/>
      <c r="J35" s="31">
        <f>SUM(E35:I35)</f>
        <v>0</v>
      </c>
      <c r="K35" s="32">
        <f>D35+J35</f>
        <v>0</v>
      </c>
      <c r="L35" s="8"/>
      <c r="M35" s="8"/>
      <c r="N35" s="32">
        <f>SUM(K35:M35)</f>
        <v>0</v>
      </c>
      <c r="O35" s="263">
        <f>UMYr1!D35+UMYr2!D35+UMYr3!D35+UMYr4!D35+UMYr5!D35</f>
        <v>0</v>
      </c>
      <c r="P35" s="264">
        <f>UMYr1!J35+UMYr2!J35+UMYr3!J35+UMYr4!J35+UMYr5!J35</f>
        <v>0</v>
      </c>
      <c r="Q35" s="266">
        <f>O35+P35</f>
        <v>0</v>
      </c>
      <c r="AC35" s="198"/>
      <c r="AD35" s="198"/>
      <c r="AE35" s="198"/>
      <c r="AF35" s="198"/>
      <c r="AG35" s="198"/>
      <c r="AH35" s="198"/>
      <c r="AJ35" s="198"/>
    </row>
    <row r="36" spans="1:36" ht="12.95" customHeight="1">
      <c r="A36" s="5" t="str">
        <f>IF(UMYr4!A36&lt;&gt;"",UMYr4!A36,"")</f>
        <v/>
      </c>
      <c r="B36" s="805" t="s">
        <v>521</v>
      </c>
      <c r="C36" s="753"/>
      <c r="D36" s="41">
        <f>Sponsor!H36</f>
        <v>0</v>
      </c>
      <c r="E36" s="42">
        <f>SUM(E33:E35)</f>
        <v>0</v>
      </c>
      <c r="F36" s="42">
        <f>SUM(F33:F35)</f>
        <v>0</v>
      </c>
      <c r="G36" s="42">
        <f>SUM(G33:G35)</f>
        <v>0</v>
      </c>
      <c r="H36" s="42">
        <f>SUM(H33:H35)</f>
        <v>0</v>
      </c>
      <c r="I36" s="42">
        <f>SUM(I33:I35)</f>
        <v>0</v>
      </c>
      <c r="J36" s="31">
        <f>SUM(E36:I36)</f>
        <v>0</v>
      </c>
      <c r="K36" s="32">
        <f>D36+J36</f>
        <v>0</v>
      </c>
      <c r="L36" s="42">
        <f>SUM(L33:L35)</f>
        <v>0</v>
      </c>
      <c r="M36" s="42">
        <f>SUM(M33:M35)</f>
        <v>0</v>
      </c>
      <c r="N36" s="41">
        <f>SUM(K36:M36)</f>
        <v>0</v>
      </c>
      <c r="O36" s="263">
        <f>UMYr1!D36+UMYr2!D36+UMYr3!D36+UMYr4!D36+UMYr5!D36</f>
        <v>0</v>
      </c>
      <c r="P36" s="264">
        <f>UMYr1!J36+UMYr2!J36+UMYr3!J36+UMYr4!J36+UMYr5!J36</f>
        <v>0</v>
      </c>
      <c r="Q36" s="311">
        <f>O36+P36</f>
        <v>0</v>
      </c>
      <c r="AJ36" s="198"/>
    </row>
    <row r="37" spans="1:36" ht="12.95" customHeight="1">
      <c r="A37" s="5" t="str">
        <f>IF(UMYr4!A37&lt;&gt;"",UMYr4!A37,"")</f>
        <v/>
      </c>
      <c r="B37" s="14" t="str">
        <f>IF(UMYr1!B37="","",UMYr1!B37)</f>
        <v>PARTICIPANT SUPPORT COSTS - account codes must be entered in Sponsor tab</v>
      </c>
      <c r="C37" s="28"/>
      <c r="D37" s="28"/>
      <c r="E37" s="28"/>
      <c r="F37" s="28"/>
      <c r="G37" s="28"/>
      <c r="H37" s="28"/>
      <c r="I37" s="28"/>
      <c r="J37" s="28"/>
      <c r="K37" s="28"/>
      <c r="L37" s="28"/>
      <c r="M37" s="28"/>
      <c r="N37" s="190"/>
      <c r="O37" s="1051"/>
      <c r="P37" s="1047"/>
      <c r="Q37" s="1028"/>
      <c r="AC37" s="198"/>
      <c r="AD37" s="198"/>
      <c r="AE37" s="198"/>
      <c r="AF37" s="198"/>
      <c r="AG37" s="198"/>
      <c r="AH37" s="198"/>
      <c r="AJ37" s="198"/>
    </row>
    <row r="38" spans="1:36" ht="12.95" customHeight="1">
      <c r="A38" s="679">
        <f>IF(UMYr4!A38&lt;&gt;"",UMYr4!A38,"")</f>
        <v>60206</v>
      </c>
      <c r="B38" s="679" t="str">
        <f>IF(UMYr4!B38&lt;&gt;"",UMYr4!B38,"")</f>
        <v/>
      </c>
      <c r="C38" s="39" t="s">
        <v>523</v>
      </c>
      <c r="D38" s="105">
        <f>Sponsor!H38</f>
        <v>0</v>
      </c>
      <c r="E38" s="8"/>
      <c r="F38" s="8"/>
      <c r="G38" s="8"/>
      <c r="H38" s="8"/>
      <c r="I38" s="8"/>
      <c r="J38" s="31">
        <f>SUM(E38:I38)</f>
        <v>0</v>
      </c>
      <c r="K38" s="32">
        <f>D38+J38</f>
        <v>0</v>
      </c>
      <c r="L38" s="8"/>
      <c r="M38" s="8"/>
      <c r="N38" s="30">
        <f>SUM(K38:M38)</f>
        <v>0</v>
      </c>
      <c r="O38" s="263">
        <f>UMYr1!D38+UMYr2!D38+UMYr3!D38+UMYr4!D38+UMYr5!D38</f>
        <v>0</v>
      </c>
      <c r="P38" s="264">
        <f>UMYr1!J38+UMYr2!J38+UMYr3!J38+UMYr4!J38+UMYr5!J38</f>
        <v>0</v>
      </c>
      <c r="Q38" s="265">
        <f>O38+P38</f>
        <v>0</v>
      </c>
      <c r="AC38" s="198"/>
      <c r="AD38" s="198"/>
      <c r="AE38" s="198"/>
      <c r="AF38" s="198"/>
      <c r="AG38" s="198"/>
      <c r="AH38" s="198"/>
      <c r="AJ38" s="198"/>
    </row>
    <row r="39" spans="1:36" ht="12.95" customHeight="1">
      <c r="A39" s="679">
        <f>IF(UMYr4!A39&lt;&gt;"",UMYr4!A39,"")</f>
        <v>60204</v>
      </c>
      <c r="B39" s="679" t="str">
        <f>IF(UMYr4!B39&lt;&gt;"",UMYr4!B39,"")</f>
        <v/>
      </c>
      <c r="C39" s="27" t="str">
        <f>UMYr1!C39</f>
        <v>Travel (out of state)</v>
      </c>
      <c r="D39" s="106">
        <f>Sponsor!H39</f>
        <v>0</v>
      </c>
      <c r="E39" s="8"/>
      <c r="F39" s="8"/>
      <c r="G39" s="8"/>
      <c r="H39" s="8"/>
      <c r="I39" s="8"/>
      <c r="J39" s="31">
        <f>SUM(E39:I39)</f>
        <v>0</v>
      </c>
      <c r="K39" s="32">
        <f>D39+J39</f>
        <v>0</v>
      </c>
      <c r="L39" s="8"/>
      <c r="M39" s="8"/>
      <c r="N39" s="32">
        <f>SUM(K39:M39)</f>
        <v>0</v>
      </c>
      <c r="O39" s="263">
        <f>UMYr1!D39+UMYr2!D39+UMYr3!D39+UMYr4!D39+UMYr5!D39</f>
        <v>0</v>
      </c>
      <c r="P39" s="264">
        <f>UMYr1!J39+UMYr2!J39+UMYr3!J39+UMYr4!J39+UMYr5!J39</f>
        <v>0</v>
      </c>
      <c r="Q39" s="266">
        <f>O39+P39</f>
        <v>0</v>
      </c>
      <c r="AC39" s="198"/>
      <c r="AD39" s="198"/>
      <c r="AE39" s="198"/>
      <c r="AF39" s="198"/>
      <c r="AG39" s="198"/>
      <c r="AH39" s="198"/>
      <c r="AJ39" s="198"/>
    </row>
    <row r="40" spans="1:36" ht="12.95" customHeight="1">
      <c r="A40" s="679">
        <f>IF(UMYr4!A40&lt;&gt;"",UMYr4!A40,"")</f>
        <v>60201</v>
      </c>
      <c r="B40" s="679" t="str">
        <f>IF(UMYr4!B40&lt;&gt;"",UMYr4!B40,"")</f>
        <v/>
      </c>
      <c r="C40" s="27" t="s">
        <v>526</v>
      </c>
      <c r="D40" s="106">
        <f>Sponsor!H40</f>
        <v>0</v>
      </c>
      <c r="E40" s="8"/>
      <c r="F40" s="8"/>
      <c r="G40" s="8"/>
      <c r="H40" s="8"/>
      <c r="I40" s="8"/>
      <c r="J40" s="31">
        <f>SUM(E40:I40)</f>
        <v>0</v>
      </c>
      <c r="K40" s="32">
        <f>D40+J40</f>
        <v>0</v>
      </c>
      <c r="L40" s="8"/>
      <c r="M40" s="8"/>
      <c r="N40" s="32">
        <f>SUM(K40:M40)</f>
        <v>0</v>
      </c>
      <c r="O40" s="263">
        <f>UMYr1!D40+UMYr2!D40+UMYr3!D40+UMYr4!D40+UMYr5!D40</f>
        <v>0</v>
      </c>
      <c r="P40" s="264">
        <f>UMYr1!J40+UMYr2!J40+UMYr3!J40+UMYr4!J40+UMYr5!J40</f>
        <v>0</v>
      </c>
      <c r="Q40" s="266">
        <f>O40+P40</f>
        <v>0</v>
      </c>
      <c r="AC40" s="198"/>
      <c r="AD40" s="198"/>
      <c r="AE40" s="198"/>
      <c r="AF40" s="198"/>
      <c r="AG40" s="198"/>
      <c r="AH40" s="198"/>
      <c r="AJ40" s="198"/>
    </row>
    <row r="41" spans="1:36" ht="12.95" customHeight="1">
      <c r="A41" s="679">
        <f>IF(UMYr4!A41&lt;&gt;"",UMYr4!A41,"")</f>
        <v>60200</v>
      </c>
      <c r="B41" s="679" t="str">
        <f>IF(UMYr4!B41&lt;&gt;"",UMYr4!B41,"")</f>
        <v/>
      </c>
      <c r="C41" s="27" t="s">
        <v>13</v>
      </c>
      <c r="D41" s="106">
        <f>Sponsor!H41</f>
        <v>0</v>
      </c>
      <c r="E41" s="8"/>
      <c r="F41" s="8"/>
      <c r="G41" s="8"/>
      <c r="H41" s="8"/>
      <c r="I41" s="8"/>
      <c r="J41" s="31">
        <f>SUM(E41:I41)</f>
        <v>0</v>
      </c>
      <c r="K41" s="32">
        <f>D41+J41</f>
        <v>0</v>
      </c>
      <c r="L41" s="8"/>
      <c r="M41" s="8"/>
      <c r="N41" s="32">
        <f>SUM(K41:M41)</f>
        <v>0</v>
      </c>
      <c r="O41" s="263">
        <f>UMYr1!D41+UMYr2!D41+UMYr3!D41+UMYr4!D41+UMYr5!D41</f>
        <v>0</v>
      </c>
      <c r="P41" s="264">
        <f>UMYr1!J41+UMYr2!J41+UMYr3!J41+UMYr4!J41+UMYr5!J41</f>
        <v>0</v>
      </c>
      <c r="Q41" s="266">
        <f>O41+P41</f>
        <v>0</v>
      </c>
      <c r="AC41" s="198"/>
      <c r="AD41" s="198"/>
      <c r="AE41" s="198"/>
      <c r="AF41" s="198"/>
      <c r="AG41" s="198"/>
      <c r="AH41" s="198"/>
      <c r="AJ41" s="198"/>
    </row>
    <row r="42" spans="1:36" ht="12.95" customHeight="1">
      <c r="A42" s="5" t="str">
        <f>IF(UMYr4!A42&lt;&gt;"",UMYr4!A42,"")</f>
        <v/>
      </c>
      <c r="B42" s="805" t="s">
        <v>527</v>
      </c>
      <c r="C42" s="753"/>
      <c r="D42" s="26">
        <f>Sponsor!H42</f>
        <v>0</v>
      </c>
      <c r="E42" s="34">
        <f>SUM(E38:E41)</f>
        <v>0</v>
      </c>
      <c r="F42" s="34">
        <f>SUM(F38:F41)</f>
        <v>0</v>
      </c>
      <c r="G42" s="34">
        <f>SUM(G38:G41)</f>
        <v>0</v>
      </c>
      <c r="H42" s="34">
        <f>SUM(H38:H41)</f>
        <v>0</v>
      </c>
      <c r="I42" s="34">
        <f>SUM(I38:I41)</f>
        <v>0</v>
      </c>
      <c r="J42" s="31">
        <f>SUM(E42:I42)</f>
        <v>0</v>
      </c>
      <c r="K42" s="32">
        <f>D42+J42</f>
        <v>0</v>
      </c>
      <c r="L42" s="34">
        <f>SUM(L38:L41)</f>
        <v>0</v>
      </c>
      <c r="M42" s="34">
        <f>SUM(M38:M41)</f>
        <v>0</v>
      </c>
      <c r="N42" s="26">
        <f>SUM(K42:M42)</f>
        <v>0</v>
      </c>
      <c r="O42" s="263">
        <f>UMYr1!D42+UMYr2!D42+UMYr3!D42+UMYr4!D42+UMYr5!D42</f>
        <v>0</v>
      </c>
      <c r="P42" s="264">
        <f>UMYr1!J42+UMYr2!J42+UMYr3!J42+UMYr4!J42+UMYr5!J42</f>
        <v>0</v>
      </c>
      <c r="Q42" s="311">
        <f>O42+P42</f>
        <v>0</v>
      </c>
      <c r="AC42" s="198"/>
      <c r="AD42" s="198"/>
      <c r="AE42" s="198"/>
      <c r="AF42" s="198"/>
      <c r="AG42" s="198"/>
      <c r="AH42" s="198"/>
      <c r="AJ42" s="198"/>
    </row>
    <row r="43" spans="1:36" ht="12.95" customHeight="1">
      <c r="A43" s="5" t="str">
        <f>IF(UMYr4!A43&lt;&gt;"",UMYr4!A43,"")</f>
        <v/>
      </c>
      <c r="B43" s="14" t="str">
        <f>IF(UMYr1!B43="","",UMYr1!B43)</f>
        <v>OTHER DIRECT COSTS - account codes must be entered in Sponsor tab</v>
      </c>
      <c r="C43" s="28"/>
      <c r="D43" s="28"/>
      <c r="E43" s="28"/>
      <c r="F43" s="28"/>
      <c r="G43" s="28"/>
      <c r="H43" s="28"/>
      <c r="I43" s="28"/>
      <c r="J43" s="28"/>
      <c r="K43" s="28"/>
      <c r="L43" s="28"/>
      <c r="M43" s="28"/>
      <c r="N43" s="190"/>
      <c r="O43" s="1051"/>
      <c r="P43" s="1047"/>
      <c r="Q43" s="1028"/>
      <c r="AJ43" s="198"/>
    </row>
    <row r="44" spans="1:36" ht="12.95" customHeight="1">
      <c r="A44" s="679">
        <f>IF(UMYr4!A44&lt;&gt;"",UMYr4!A44,"")</f>
        <v>61000</v>
      </c>
      <c r="B44" s="679" t="str">
        <f>IF(UMYr4!B44&lt;&gt;"",UMYr4!B44,"")</f>
        <v/>
      </c>
      <c r="C44" s="39" t="str">
        <f>UMYr1!C44</f>
        <v>Materials &amp; Supplies</v>
      </c>
      <c r="D44" s="105">
        <f>Sponsor!H44</f>
        <v>0</v>
      </c>
      <c r="E44" s="8"/>
      <c r="F44" s="8"/>
      <c r="G44" s="8"/>
      <c r="H44" s="8"/>
      <c r="I44" s="8"/>
      <c r="J44" s="31">
        <f t="shared" ref="J44:J53" si="8">SUM(E44:I44)</f>
        <v>0</v>
      </c>
      <c r="K44" s="32">
        <f t="shared" ref="K44:K53" si="9">D44+J44</f>
        <v>0</v>
      </c>
      <c r="L44" s="8"/>
      <c r="M44" s="8"/>
      <c r="N44" s="30">
        <f t="shared" ref="N44:N62" si="10">SUM(K44:M44)</f>
        <v>0</v>
      </c>
      <c r="O44" s="263">
        <f>UMYr1!D44+UMYr2!D44+UMYr3!D44+UMYr4!D44+UMYr5!D44</f>
        <v>0</v>
      </c>
      <c r="P44" s="264">
        <f>UMYr1!J44+UMYr2!J44+UMYr3!J44+UMYr4!J44+UMYr5!J44</f>
        <v>0</v>
      </c>
      <c r="Q44" s="265">
        <f t="shared" ref="Q44:Q53" si="11">O44+P44</f>
        <v>0</v>
      </c>
      <c r="AJ44" s="198"/>
    </row>
    <row r="45" spans="1:36" ht="12.95" customHeight="1">
      <c r="A45" s="679">
        <f>IF(UMYr4!A45&lt;&gt;"",UMYr4!A45,"")</f>
        <v>60002</v>
      </c>
      <c r="B45" s="679" t="str">
        <f>IF(UMYr4!B45&lt;&gt;"",UMYr4!B45,"")</f>
        <v/>
      </c>
      <c r="C45" s="27" t="str">
        <f>UMYr1!C45</f>
        <v>Consultant Services</v>
      </c>
      <c r="D45" s="106">
        <f>Sponsor!H45</f>
        <v>0</v>
      </c>
      <c r="E45" s="8"/>
      <c r="F45" s="8"/>
      <c r="G45" s="8"/>
      <c r="H45" s="8"/>
      <c r="I45" s="8"/>
      <c r="J45" s="31">
        <f t="shared" si="8"/>
        <v>0</v>
      </c>
      <c r="K45" s="32">
        <f t="shared" si="9"/>
        <v>0</v>
      </c>
      <c r="L45" s="8"/>
      <c r="M45" s="8"/>
      <c r="N45" s="32">
        <f t="shared" si="10"/>
        <v>0</v>
      </c>
      <c r="O45" s="263">
        <f>UMYr1!D45+UMYr2!D45+UMYr3!D45+UMYr4!D45+UMYr5!D45</f>
        <v>0</v>
      </c>
      <c r="P45" s="264">
        <f>UMYr1!J45+UMYr2!J45+UMYr3!J45+UMYr4!J45+UMYr5!J45</f>
        <v>0</v>
      </c>
      <c r="Q45" s="266">
        <f t="shared" si="11"/>
        <v>0</v>
      </c>
      <c r="AC45" s="198"/>
      <c r="AD45" s="198"/>
      <c r="AE45" s="198"/>
      <c r="AF45" s="198"/>
      <c r="AG45" s="198"/>
      <c r="AH45" s="198"/>
      <c r="AJ45" s="198"/>
    </row>
    <row r="46" spans="1:36" ht="12.95" customHeight="1">
      <c r="A46" s="679">
        <f>IF(UMYr4!A46&lt;&gt;"",UMYr4!A46,"")</f>
        <v>60100</v>
      </c>
      <c r="B46" s="679" t="str">
        <f>IF(UMYr4!B46&lt;&gt;"",UMYr4!B46,"")</f>
        <v/>
      </c>
      <c r="C46" s="27" t="str">
        <f>UMYr1!C46</f>
        <v>Professional Services</v>
      </c>
      <c r="D46" s="106">
        <f>Sponsor!H46</f>
        <v>0</v>
      </c>
      <c r="E46" s="8"/>
      <c r="F46" s="8"/>
      <c r="G46" s="8"/>
      <c r="H46" s="8"/>
      <c r="I46" s="8"/>
      <c r="J46" s="31">
        <f t="shared" si="8"/>
        <v>0</v>
      </c>
      <c r="K46" s="32">
        <f t="shared" si="9"/>
        <v>0</v>
      </c>
      <c r="L46" s="8"/>
      <c r="M46" s="8"/>
      <c r="N46" s="32">
        <f t="shared" si="10"/>
        <v>0</v>
      </c>
      <c r="O46" s="263">
        <f>UMYr1!D46+UMYr2!D46+UMYr3!D46+UMYr4!D46+UMYr5!D46</f>
        <v>0</v>
      </c>
      <c r="P46" s="264">
        <f>UMYr1!J46+UMYr2!J46+UMYr3!J46+UMYr4!J46+UMYr5!J46</f>
        <v>0</v>
      </c>
      <c r="Q46" s="266">
        <f t="shared" si="11"/>
        <v>0</v>
      </c>
      <c r="AC46" s="198"/>
      <c r="AD46" s="198"/>
      <c r="AE46" s="198"/>
      <c r="AF46" s="198"/>
      <c r="AG46" s="198"/>
      <c r="AH46" s="198"/>
      <c r="AJ46" s="198"/>
    </row>
    <row r="47" spans="1:36" ht="12.95" customHeight="1">
      <c r="A47" s="679">
        <f>IF(UMYr4!A47&lt;&gt;"",UMYr4!A47,"")</f>
        <v>62000</v>
      </c>
      <c r="B47" s="679" t="str">
        <f>IF(UMYr4!B47&lt;&gt;"",UMYr4!B47,"")</f>
        <v/>
      </c>
      <c r="C47" s="27" t="str">
        <f>UMYr1!C47</f>
        <v>Non-Capital Equipment</v>
      </c>
      <c r="D47" s="106">
        <f>Sponsor!H47</f>
        <v>0</v>
      </c>
      <c r="E47" s="8"/>
      <c r="F47" s="8"/>
      <c r="G47" s="8"/>
      <c r="H47" s="8"/>
      <c r="I47" s="8"/>
      <c r="J47" s="31">
        <f t="shared" si="8"/>
        <v>0</v>
      </c>
      <c r="K47" s="32">
        <f t="shared" si="9"/>
        <v>0</v>
      </c>
      <c r="L47" s="8"/>
      <c r="M47" s="8"/>
      <c r="N47" s="32">
        <f t="shared" si="10"/>
        <v>0</v>
      </c>
      <c r="O47" s="263">
        <f>UMYr1!D47+UMYr2!D47+UMYr3!D47+UMYr4!D47+UMYr5!D47</f>
        <v>0</v>
      </c>
      <c r="P47" s="264">
        <f>UMYr1!J47+UMYr2!J47+UMYr3!J47+UMYr4!J47+UMYr5!J47</f>
        <v>0</v>
      </c>
      <c r="Q47" s="266">
        <f t="shared" si="11"/>
        <v>0</v>
      </c>
      <c r="AC47" s="198"/>
      <c r="AD47" s="198"/>
      <c r="AE47" s="198"/>
      <c r="AF47" s="198"/>
      <c r="AG47" s="198"/>
      <c r="AH47" s="198"/>
      <c r="AJ47" s="198"/>
    </row>
    <row r="48" spans="1:36" ht="12.95" customHeight="1">
      <c r="A48" s="679" t="str">
        <f>IF(UMYr4!A48&lt;&gt;"",UMYr4!A48,"")</f>
        <v/>
      </c>
      <c r="B48" s="679" t="str">
        <f>IF(UMYr4!B48&lt;&gt;"",UMYr4!B48,"")</f>
        <v/>
      </c>
      <c r="C48" s="27" t="str">
        <f>UMYr1!C48</f>
        <v>Subrecipients (enter below)</v>
      </c>
      <c r="D48" s="108">
        <f>Sponsor!H48</f>
        <v>0</v>
      </c>
      <c r="E48" s="165">
        <f>E183</f>
        <v>0</v>
      </c>
      <c r="F48" s="342">
        <f>F183</f>
        <v>0</v>
      </c>
      <c r="G48" s="342">
        <f>G183</f>
        <v>0</v>
      </c>
      <c r="H48" s="342">
        <f>H183</f>
        <v>0</v>
      </c>
      <c r="I48" s="342">
        <f>I183</f>
        <v>0</v>
      </c>
      <c r="J48" s="43">
        <f t="shared" si="8"/>
        <v>0</v>
      </c>
      <c r="K48" s="32">
        <f t="shared" si="9"/>
        <v>0</v>
      </c>
      <c r="L48" s="23">
        <f>L183</f>
        <v>0</v>
      </c>
      <c r="M48" s="23">
        <f>M183</f>
        <v>0</v>
      </c>
      <c r="N48" s="25">
        <f t="shared" si="10"/>
        <v>0</v>
      </c>
      <c r="O48" s="263">
        <f>UMYr1!D48+UMYr2!D48+UMYr3!D48+UMYr4!D48+UMYr5!D48</f>
        <v>0</v>
      </c>
      <c r="P48" s="268">
        <f>UMYr1!J48+UMYr2!J48+UMYr3!J48+UMYr4!J48+UMYr5!J48</f>
        <v>0</v>
      </c>
      <c r="Q48" s="266">
        <f t="shared" si="11"/>
        <v>0</v>
      </c>
      <c r="AC48" s="198"/>
      <c r="AD48" s="198"/>
      <c r="AE48" s="198"/>
      <c r="AF48" s="198"/>
      <c r="AG48" s="198"/>
      <c r="AH48" s="198"/>
      <c r="AJ48" s="198"/>
    </row>
    <row r="49" spans="1:36" ht="12.95" customHeight="1">
      <c r="A49" s="679">
        <f>IF(UMYr4!A49&lt;&gt;"",UMYr4!A49,"")</f>
        <v>55300</v>
      </c>
      <c r="B49" s="679" t="str">
        <f>IF(UMYr4!B49&lt;&gt;"",UMYr4!B49,"")</f>
        <v/>
      </c>
      <c r="C49" s="27" t="str">
        <f>UMYr1!C49</f>
        <v>Tuition</v>
      </c>
      <c r="D49" s="106">
        <f>Sponsor!H49</f>
        <v>0</v>
      </c>
      <c r="E49" s="8"/>
      <c r="F49" s="8"/>
      <c r="G49" s="8"/>
      <c r="H49" s="8"/>
      <c r="I49" s="8"/>
      <c r="J49" s="31">
        <f t="shared" si="8"/>
        <v>0</v>
      </c>
      <c r="K49" s="32">
        <f t="shared" si="9"/>
        <v>0</v>
      </c>
      <c r="L49" s="8"/>
      <c r="M49" s="8"/>
      <c r="N49" s="32">
        <f t="shared" si="10"/>
        <v>0</v>
      </c>
      <c r="O49" s="263">
        <f>UMYr1!D49+UMYr2!D49+UMYr3!D49+UMYr4!D49+UMYr5!D49</f>
        <v>0</v>
      </c>
      <c r="P49" s="264">
        <f>UMYr1!J49+UMYr2!J49+UMYr3!J49+UMYr4!J49+UMYr5!J49</f>
        <v>0</v>
      </c>
      <c r="Q49" s="266">
        <f t="shared" si="11"/>
        <v>0</v>
      </c>
      <c r="AC49" s="198"/>
      <c r="AD49" s="198"/>
      <c r="AE49" s="198"/>
      <c r="AF49" s="198"/>
      <c r="AG49" s="198"/>
      <c r="AH49" s="198"/>
      <c r="AJ49" s="198"/>
    </row>
    <row r="50" spans="1:36" ht="12.95" customHeight="1">
      <c r="A50" s="679">
        <f>IF(UMYr4!A50&lt;&gt;"",UMYr4!A50,"")</f>
        <v>54113</v>
      </c>
      <c r="B50" s="679" t="str">
        <f>IF(UMYr4!B50&lt;&gt;"",UMYr4!B50,"")</f>
        <v/>
      </c>
      <c r="C50" s="27" t="str">
        <f>UMYr1!C50</f>
        <v>Grad Student Health Insurance</v>
      </c>
      <c r="D50" s="106">
        <f>Sponsor!H50</f>
        <v>0</v>
      </c>
      <c r="E50" s="8"/>
      <c r="F50" s="8"/>
      <c r="G50" s="8"/>
      <c r="H50" s="8"/>
      <c r="I50" s="8"/>
      <c r="J50" s="31">
        <f t="shared" si="8"/>
        <v>0</v>
      </c>
      <c r="K50" s="32">
        <f t="shared" si="9"/>
        <v>0</v>
      </c>
      <c r="L50" s="8"/>
      <c r="M50" s="8"/>
      <c r="N50" s="32">
        <f>SUM(K50:M50)</f>
        <v>0</v>
      </c>
      <c r="O50" s="263">
        <f>UMYr1!D50+UMYr2!D50+UMYr3!D50+UMYr4!D50+UMYr5!D50</f>
        <v>0</v>
      </c>
      <c r="P50" s="264">
        <f>UMYr1!J50+UMYr2!J50+UMYr3!J50+UMYr4!J50+UMYr5!J50</f>
        <v>0</v>
      </c>
      <c r="Q50" s="266">
        <f t="shared" si="11"/>
        <v>0</v>
      </c>
      <c r="AC50" s="198"/>
      <c r="AD50" s="198"/>
      <c r="AE50" s="198"/>
      <c r="AF50" s="198"/>
      <c r="AG50" s="198"/>
      <c r="AH50" s="198"/>
      <c r="AJ50" s="198"/>
    </row>
    <row r="51" spans="1:36" ht="12.95" customHeight="1">
      <c r="A51" s="679" t="str">
        <f>IF(UMYr4!A51&lt;&gt;"",UMYr4!A51,"")</f>
        <v>Below</v>
      </c>
      <c r="B51" s="682" t="str">
        <f>IF(UMYr4!B51&lt;&gt;"",UMYr4!B51,"")</f>
        <v/>
      </c>
      <c r="C51" s="27" t="s">
        <v>538</v>
      </c>
      <c r="D51" s="106">
        <f>Sponsor!H51</f>
        <v>0</v>
      </c>
      <c r="E51" s="31">
        <f>E120</f>
        <v>0</v>
      </c>
      <c r="F51" s="31">
        <f>F120</f>
        <v>0</v>
      </c>
      <c r="G51" s="31">
        <f>G120</f>
        <v>0</v>
      </c>
      <c r="H51" s="31">
        <f>H120</f>
        <v>0</v>
      </c>
      <c r="I51" s="31">
        <f>I120</f>
        <v>0</v>
      </c>
      <c r="J51" s="31">
        <f t="shared" si="8"/>
        <v>0</v>
      </c>
      <c r="K51" s="32">
        <f t="shared" si="9"/>
        <v>0</v>
      </c>
      <c r="L51" s="31">
        <f>L120</f>
        <v>0</v>
      </c>
      <c r="M51" s="31">
        <f>M120</f>
        <v>0</v>
      </c>
      <c r="N51" s="32">
        <f t="shared" si="10"/>
        <v>0</v>
      </c>
      <c r="O51" s="263">
        <f>UMYr1!D51+UMYr2!D51+UMYr3!D51+UMYr4!D51+UMYr5!D51</f>
        <v>0</v>
      </c>
      <c r="P51" s="264">
        <f>UMYr1!J51+UMYr2!J51+UMYr3!J51+UMYr4!J51+UMYr5!J51</f>
        <v>0</v>
      </c>
      <c r="Q51" s="266">
        <f t="shared" si="11"/>
        <v>0</v>
      </c>
      <c r="AC51" s="198"/>
      <c r="AD51" s="198"/>
      <c r="AE51" s="198"/>
      <c r="AF51" s="198"/>
      <c r="AG51" s="198"/>
      <c r="AH51" s="198"/>
      <c r="AJ51" s="198"/>
    </row>
    <row r="52" spans="1:36" ht="12.95" customHeight="1" thickBot="1">
      <c r="A52" s="5" t="str">
        <f>IF(UMYr4!A52&lt;&gt;"",UMYr4!A52,"")</f>
        <v/>
      </c>
      <c r="B52" s="810" t="s">
        <v>540</v>
      </c>
      <c r="C52" s="811"/>
      <c r="D52" s="44">
        <f>Sponsor!H52</f>
        <v>0</v>
      </c>
      <c r="E52" s="269">
        <f>SUM(E44:E51)</f>
        <v>0</v>
      </c>
      <c r="F52" s="269">
        <f>SUM(F44:F51)</f>
        <v>0</v>
      </c>
      <c r="G52" s="269">
        <f>SUM(G44:G51)</f>
        <v>0</v>
      </c>
      <c r="H52" s="269">
        <f>SUM(H44:H51)</f>
        <v>0</v>
      </c>
      <c r="I52" s="269">
        <f>SUM(I44:I51)</f>
        <v>0</v>
      </c>
      <c r="J52" s="269">
        <f t="shared" si="8"/>
        <v>0</v>
      </c>
      <c r="K52" s="270">
        <f t="shared" si="9"/>
        <v>0</v>
      </c>
      <c r="L52" s="269">
        <f>SUM(L44:L51)</f>
        <v>0</v>
      </c>
      <c r="M52" s="269">
        <f>SUM(M44:M51)</f>
        <v>0</v>
      </c>
      <c r="N52" s="44">
        <f t="shared" si="10"/>
        <v>0</v>
      </c>
      <c r="O52" s="271">
        <f>UMYr1!D52+UMYr2!D52+UMYr3!D52+UMYr4!D52+UMYr5!D52</f>
        <v>0</v>
      </c>
      <c r="P52" s="272">
        <f>UMYr1!J52+UMYr2!J52+UMYr3!J52+UMYr4!J52+UMYr5!J52</f>
        <v>0</v>
      </c>
      <c r="Q52" s="266">
        <f t="shared" si="11"/>
        <v>0</v>
      </c>
      <c r="AC52" s="198"/>
      <c r="AD52" s="198"/>
      <c r="AE52" s="198"/>
      <c r="AF52" s="198"/>
      <c r="AG52" s="198"/>
      <c r="AH52" s="198"/>
      <c r="AJ52" s="198"/>
    </row>
    <row r="53" spans="1:36" ht="12.95" customHeight="1" thickTop="1">
      <c r="A53" s="5" t="str">
        <f>IF(UMYr4!A53&lt;&gt;"",UMYr4!A53,"")</f>
        <v/>
      </c>
      <c r="B53" s="1057" t="s">
        <v>656</v>
      </c>
      <c r="C53" s="1053"/>
      <c r="D53" s="47">
        <f>Sponsor!H53</f>
        <v>0</v>
      </c>
      <c r="E53" s="277">
        <f>E52+E42+E31+E26+E36</f>
        <v>0</v>
      </c>
      <c r="F53" s="277">
        <f>F52+F42+F31+F26+F36</f>
        <v>0</v>
      </c>
      <c r="G53" s="277">
        <f>G52+G42+G31+G26+G36</f>
        <v>0</v>
      </c>
      <c r="H53" s="277">
        <f>H52+H42+H31+H26+H36</f>
        <v>0</v>
      </c>
      <c r="I53" s="277">
        <f>I52+I42+I31+I26+I36</f>
        <v>0</v>
      </c>
      <c r="J53" s="418">
        <f t="shared" si="8"/>
        <v>0</v>
      </c>
      <c r="K53" s="382">
        <f t="shared" si="9"/>
        <v>0</v>
      </c>
      <c r="L53" s="277">
        <f>L52+L42+L35+L33+L31+L26+L34</f>
        <v>0</v>
      </c>
      <c r="M53" s="277">
        <f>M52+M42+M35+M33+M31+M26+M34</f>
        <v>0</v>
      </c>
      <c r="N53" s="47">
        <f t="shared" si="10"/>
        <v>0</v>
      </c>
      <c r="O53" s="331">
        <f>UMYr1!D53+UMYr2!D53+UMYr3!D53+UMYr4!D53+UMYr5!D53</f>
        <v>0</v>
      </c>
      <c r="P53" s="279">
        <f>UMYr1!J53+UMYr2!J53+UMYr3!J53+UMYr4!J53+UMYr5!J53</f>
        <v>0</v>
      </c>
      <c r="Q53" s="383">
        <f t="shared" si="11"/>
        <v>0</v>
      </c>
      <c r="AC53" s="198"/>
      <c r="AD53" s="198"/>
      <c r="AE53" s="198"/>
      <c r="AF53" s="198"/>
      <c r="AG53" s="198"/>
      <c r="AH53" s="198"/>
      <c r="AJ53" s="198"/>
    </row>
    <row r="54" spans="1:36" ht="12.95" customHeight="1">
      <c r="A54" s="5" t="str">
        <f>IF(UMYr4!A54&lt;&gt;"",UMYr4!A54,"")</f>
        <v/>
      </c>
      <c r="B54" s="689">
        <f>IF(UMYr4!B54&lt;&gt;"",UMYr4!B54,"")</f>
        <v>65711</v>
      </c>
      <c r="C54" s="46" t="str">
        <f>UMYr1!C54</f>
        <v>UM  F&amp;A on Direct Costs</v>
      </c>
      <c r="D54" s="993" t="s">
        <v>658</v>
      </c>
      <c r="E54" s="364">
        <f>ROUND(E84*E68,0)</f>
        <v>0</v>
      </c>
      <c r="F54" s="408">
        <f>ROUND(F84*F68,0)</f>
        <v>0</v>
      </c>
      <c r="G54" s="408">
        <f>ROUND(G84*G68,0)</f>
        <v>0</v>
      </c>
      <c r="H54" s="408">
        <f>ROUND(H84*H68,0)</f>
        <v>0</v>
      </c>
      <c r="I54" s="408">
        <f>ROUND(I84*I68,0)</f>
        <v>0</v>
      </c>
      <c r="J54" s="376">
        <f>SUM(E54:I54)</f>
        <v>0</v>
      </c>
      <c r="K54" s="638">
        <f>J54</f>
        <v>0</v>
      </c>
      <c r="L54" s="998"/>
      <c r="M54" s="999"/>
      <c r="N54" s="107">
        <f>J54</f>
        <v>0</v>
      </c>
      <c r="O54" s="997" t="s">
        <v>658</v>
      </c>
      <c r="P54" s="264">
        <f>UMYr1!J54+UMYr2!J54+UMYr3!J54+UMYr4!J54+UMYr5!J54</f>
        <v>0</v>
      </c>
      <c r="Q54" s="266">
        <f t="shared" ref="Q54:Q59" si="12">P54</f>
        <v>0</v>
      </c>
      <c r="AC54" s="198"/>
      <c r="AD54" s="198"/>
      <c r="AE54" s="198"/>
      <c r="AF54" s="198"/>
      <c r="AG54" s="198"/>
      <c r="AH54" s="198"/>
      <c r="AJ54" s="198"/>
    </row>
    <row r="55" spans="1:36" ht="12.95" customHeight="1">
      <c r="A55" s="5" t="str">
        <f>IF(UMYr4!A55&lt;&gt;"",UMYr4!A55,"")</f>
        <v/>
      </c>
      <c r="B55" s="689">
        <v>65712</v>
      </c>
      <c r="C55" s="138" t="str">
        <f>UMYr1!C55</f>
        <v>Above Sponsor Cap</v>
      </c>
      <c r="D55" s="937"/>
      <c r="E55" s="398">
        <f>Sponsor!H57</f>
        <v>0</v>
      </c>
      <c r="F55" s="888" t="s">
        <v>658</v>
      </c>
      <c r="G55" s="1050"/>
      <c r="H55" s="1050"/>
      <c r="I55" s="1050"/>
      <c r="J55" s="1037"/>
      <c r="K55" s="32"/>
      <c r="L55" s="624"/>
      <c r="M55" s="628"/>
      <c r="N55" s="32"/>
      <c r="O55" s="796"/>
      <c r="P55" s="264">
        <f>UMYr1!E55+UMYr2!E55+UMYr3!E55+UMYr4!E55+UMYr5!E55</f>
        <v>0</v>
      </c>
      <c r="Q55" s="266">
        <f t="shared" si="12"/>
        <v>0</v>
      </c>
    </row>
    <row r="56" spans="1:36" ht="12.95" customHeight="1">
      <c r="A56" s="5" t="str">
        <f>IF(UMYr4!A56&lt;&gt;"",UMYr4!A56,"")</f>
        <v/>
      </c>
      <c r="B56" s="689">
        <v>65713</v>
      </c>
      <c r="C56" s="46" t="str">
        <f>UMYr1!C56</f>
        <v>Required  Cost Sharing</v>
      </c>
      <c r="D56" s="937"/>
      <c r="E56" s="349">
        <f>Sponsor!H58</f>
        <v>0</v>
      </c>
      <c r="F56" s="1033"/>
      <c r="G56" s="1030"/>
      <c r="H56" s="1030"/>
      <c r="I56" s="1030"/>
      <c r="J56" s="1038"/>
      <c r="K56" s="32"/>
      <c r="L56" s="626"/>
      <c r="M56" s="620"/>
      <c r="N56" s="32"/>
      <c r="O56" s="796"/>
      <c r="P56" s="264">
        <f>UMYr1!E56+UMYr2!E56+UMYr3!E56+UMYr4!E56+UMYr5!E56</f>
        <v>0</v>
      </c>
      <c r="Q56" s="266">
        <f t="shared" si="12"/>
        <v>0</v>
      </c>
    </row>
    <row r="57" spans="1:36" ht="12.95" customHeight="1">
      <c r="A57" s="405"/>
      <c r="B57" s="689">
        <v>65714</v>
      </c>
      <c r="C57" s="134" t="str">
        <f>UMYr1!C57</f>
        <v xml:space="preserve">State Agreement </v>
      </c>
      <c r="D57" s="937"/>
      <c r="E57" s="349">
        <f>Sponsor!H59</f>
        <v>0</v>
      </c>
      <c r="F57" s="1033"/>
      <c r="G57" s="1030"/>
      <c r="H57" s="1030"/>
      <c r="I57" s="1030"/>
      <c r="J57" s="1038"/>
      <c r="K57" s="32"/>
      <c r="L57" s="626"/>
      <c r="M57" s="620"/>
      <c r="N57" s="32"/>
      <c r="O57" s="796"/>
      <c r="P57" s="416">
        <f>UMYr1!E57+UMYr2!E57+UMYr3!E57+UMYr4!E57+UMYr5!E57</f>
        <v>0</v>
      </c>
      <c r="Q57" s="266">
        <f t="shared" si="12"/>
        <v>0</v>
      </c>
    </row>
    <row r="58" spans="1:36" ht="12.95" customHeight="1">
      <c r="A58" s="405"/>
      <c r="B58" s="689">
        <v>65715</v>
      </c>
      <c r="C58" s="134" t="str">
        <f>UMYr1!C58</f>
        <v>Voluntary Cost Sharing</v>
      </c>
      <c r="D58" s="937"/>
      <c r="E58" s="349">
        <f>Sponsor!H60</f>
        <v>0</v>
      </c>
      <c r="F58" s="1033"/>
      <c r="G58" s="1030"/>
      <c r="H58" s="1030"/>
      <c r="I58" s="1030"/>
      <c r="J58" s="1038"/>
      <c r="K58" s="32"/>
      <c r="L58" s="626"/>
      <c r="M58" s="620"/>
      <c r="N58" s="32"/>
      <c r="O58" s="796"/>
      <c r="P58" s="416">
        <f>UMYr1!E58+UMYr2!E58+UMYr3!E58+UMYr4!E58+UMYr5!E58</f>
        <v>0</v>
      </c>
      <c r="Q58" s="266">
        <f t="shared" si="12"/>
        <v>0</v>
      </c>
    </row>
    <row r="59" spans="1:36" ht="12.95" customHeight="1">
      <c r="A59" s="405"/>
      <c r="B59" s="5"/>
      <c r="C59" s="135" t="str">
        <f>UMYr1!C59</f>
        <v xml:space="preserve">Total  F&amp;A Waiver (FACS) </v>
      </c>
      <c r="D59" s="984"/>
      <c r="E59" s="435">
        <f>SUM(E55:E58)</f>
        <v>0</v>
      </c>
      <c r="F59" s="1036"/>
      <c r="G59" s="1061"/>
      <c r="H59" s="1061"/>
      <c r="I59" s="1061"/>
      <c r="J59" s="1062"/>
      <c r="K59" s="32"/>
      <c r="L59" s="627"/>
      <c r="M59" s="623"/>
      <c r="N59" s="32"/>
      <c r="O59" s="733"/>
      <c r="P59" s="416">
        <f>UMYr1!E59+UMYr2!E59+UMYr3!E59+UMYr4!E59+UMYr5!E59</f>
        <v>0</v>
      </c>
      <c r="Q59" s="266">
        <f t="shared" si="12"/>
        <v>0</v>
      </c>
    </row>
    <row r="60" spans="1:36" ht="12.95" customHeight="1">
      <c r="A60" s="679">
        <f>IF(UMYr4!A60&lt;&gt;"",UMYr4!A60,"")</f>
        <v>65701</v>
      </c>
      <c r="B60" s="808" t="str">
        <f>UMYr1!B60</f>
        <v>Total F&amp;A Charged</v>
      </c>
      <c r="C60" s="809"/>
      <c r="D60" s="671">
        <f>Sponsor!H54</f>
        <v>0</v>
      </c>
      <c r="E60" s="349">
        <f>E54+E59</f>
        <v>0</v>
      </c>
      <c r="F60" s="384">
        <f>F54</f>
        <v>0</v>
      </c>
      <c r="G60" s="384">
        <f>G54</f>
        <v>0</v>
      </c>
      <c r="H60" s="384">
        <f>H54</f>
        <v>0</v>
      </c>
      <c r="I60" s="384">
        <f>I54</f>
        <v>0</v>
      </c>
      <c r="J60" s="366">
        <f>SUM(E60:I60)</f>
        <v>0</v>
      </c>
      <c r="K60" s="105">
        <f>D60+J60</f>
        <v>0</v>
      </c>
      <c r="L60" s="638">
        <f>ROUND(L84*L69,0)</f>
        <v>0</v>
      </c>
      <c r="M60" s="638">
        <f>ROUND(M84*M69,0)</f>
        <v>0</v>
      </c>
      <c r="N60" s="403"/>
      <c r="O60" s="417">
        <f>UMYr1!D60+UMYr2!D60+UMYr3!D60+UMYr4!D60+UMYr5!D60</f>
        <v>0</v>
      </c>
      <c r="P60" s="416">
        <f>UMYr1!J60+UMYr2!J60+UMYr3!J60+UMYr4!J60+UMYr5!J60</f>
        <v>0</v>
      </c>
      <c r="Q60" s="266">
        <f>O60+P60</f>
        <v>0</v>
      </c>
    </row>
    <row r="61" spans="1:36" ht="12.95" customHeight="1" thickBot="1">
      <c r="A61"/>
      <c r="B61" s="390">
        <v>65719</v>
      </c>
      <c r="C61" s="135" t="str">
        <f>UMYr1!C61</f>
        <v xml:space="preserve">UM  F&amp;A Offset </v>
      </c>
      <c r="D61" s="137"/>
      <c r="E61" s="351">
        <f>-E60</f>
        <v>0</v>
      </c>
      <c r="F61" s="372">
        <f>-F60</f>
        <v>0</v>
      </c>
      <c r="G61" s="372">
        <f>-G60</f>
        <v>0</v>
      </c>
      <c r="H61" s="372">
        <f>-H60</f>
        <v>0</v>
      </c>
      <c r="I61" s="372">
        <f>-I60</f>
        <v>0</v>
      </c>
      <c r="J61" s="136">
        <f>SUM(E61:I61)</f>
        <v>0</v>
      </c>
      <c r="K61" s="106">
        <f>D61+J61</f>
        <v>0</v>
      </c>
      <c r="L61" s="639"/>
      <c r="M61" s="629"/>
      <c r="N61" s="108">
        <f t="shared" si="10"/>
        <v>0</v>
      </c>
      <c r="O61" s="263"/>
      <c r="P61" s="264">
        <f>UMYr1!J61+UMYr2!J61+UMYr3!J61+UMYr4!J61+UMYr5!J61</f>
        <v>0</v>
      </c>
      <c r="Q61" s="276">
        <f>P61</f>
        <v>0</v>
      </c>
    </row>
    <row r="62" spans="1:36" ht="12.95" customHeight="1" thickTop="1">
      <c r="A62" s="5" t="str">
        <f>IF(UMYr4!A62&lt;&gt;"",UMYr4!A62,"")</f>
        <v/>
      </c>
      <c r="B62" s="941" t="s">
        <v>544</v>
      </c>
      <c r="C62" s="942"/>
      <c r="D62" s="512">
        <f>Sponsor!H55</f>
        <v>0</v>
      </c>
      <c r="E62" s="511">
        <f t="shared" ref="E62:J62" si="13">E53+E60</f>
        <v>0</v>
      </c>
      <c r="F62" s="511">
        <f t="shared" si="13"/>
        <v>0</v>
      </c>
      <c r="G62" s="511">
        <f t="shared" si="13"/>
        <v>0</v>
      </c>
      <c r="H62" s="511">
        <f t="shared" si="13"/>
        <v>0</v>
      </c>
      <c r="I62" s="511">
        <f t="shared" si="13"/>
        <v>0</v>
      </c>
      <c r="J62" s="511">
        <f t="shared" si="13"/>
        <v>0</v>
      </c>
      <c r="K62" s="512">
        <f>D62+J62</f>
        <v>0</v>
      </c>
      <c r="L62" s="513">
        <f>SUM(L53:L60)</f>
        <v>0</v>
      </c>
      <c r="M62" s="511">
        <f>SUM(M53:M60)</f>
        <v>0</v>
      </c>
      <c r="N62" s="512">
        <f t="shared" si="10"/>
        <v>0</v>
      </c>
      <c r="O62" s="513">
        <f>UMYr1!D62+UMYr2!D62+UMYr3!D62+UMYr4!D62+UMYr5!D62</f>
        <v>0</v>
      </c>
      <c r="P62" s="514">
        <f>UMYr1!J62+UMYr2!J62+UMYr3!J62+UMYr4!J62+UMYr5!J62</f>
        <v>0</v>
      </c>
      <c r="Q62" s="510">
        <f>O62+P62</f>
        <v>0</v>
      </c>
    </row>
    <row r="63" spans="1:36" ht="12.95" customHeight="1">
      <c r="A63" s="5" t="str">
        <f>IF(UMYr4!A63&lt;&gt;"",UMYr4!A63,"")</f>
        <v/>
      </c>
      <c r="B63" s="909" t="s">
        <v>662</v>
      </c>
      <c r="C63" s="910"/>
      <c r="D63" s="673">
        <f>D62-D42</f>
        <v>0</v>
      </c>
      <c r="E63" s="521">
        <f t="shared" ref="E63:Q63" si="14">E62-E42</f>
        <v>0</v>
      </c>
      <c r="F63" s="521">
        <f t="shared" si="14"/>
        <v>0</v>
      </c>
      <c r="G63" s="521">
        <f t="shared" si="14"/>
        <v>0</v>
      </c>
      <c r="H63" s="521">
        <f t="shared" si="14"/>
        <v>0</v>
      </c>
      <c r="I63" s="521">
        <f t="shared" si="14"/>
        <v>0</v>
      </c>
      <c r="J63" s="521">
        <f t="shared" si="14"/>
        <v>0</v>
      </c>
      <c r="K63" s="673">
        <f t="shared" si="14"/>
        <v>0</v>
      </c>
      <c r="L63" s="521">
        <f t="shared" si="14"/>
        <v>0</v>
      </c>
      <c r="M63" s="521">
        <f t="shared" si="14"/>
        <v>0</v>
      </c>
      <c r="N63" s="673">
        <f t="shared" si="14"/>
        <v>0</v>
      </c>
      <c r="O63" s="521">
        <f t="shared" si="14"/>
        <v>0</v>
      </c>
      <c r="P63" s="521">
        <f t="shared" si="14"/>
        <v>0</v>
      </c>
      <c r="Q63" s="673">
        <f t="shared" si="14"/>
        <v>0</v>
      </c>
    </row>
    <row r="64" spans="1:36" ht="12.95" customHeight="1">
      <c r="A64" s="5" t="str">
        <f>IF(UMYr4!A64&lt;&gt;"",UMYr4!A64,"")</f>
        <v/>
      </c>
      <c r="B64" s="1060" t="s">
        <v>663</v>
      </c>
      <c r="C64" s="1061"/>
      <c r="D64" s="1061"/>
      <c r="E64" s="1061"/>
      <c r="F64" s="1061"/>
      <c r="G64" s="1061"/>
      <c r="H64" s="1061"/>
      <c r="I64" s="1061"/>
      <c r="J64" s="1061"/>
      <c r="K64" s="1061"/>
      <c r="L64" s="1061"/>
      <c r="M64" s="1061"/>
      <c r="N64" s="1062"/>
    </row>
    <row r="65" spans="1:26" ht="12.95" customHeight="1">
      <c r="A65" s="5" t="str">
        <f>IF(UMYr4!A65&lt;&gt;"",UMYr4!A65,"")</f>
        <v/>
      </c>
      <c r="B65" s="15" t="s">
        <v>556</v>
      </c>
      <c r="C65" s="28"/>
      <c r="D65" s="28"/>
      <c r="E65" s="28"/>
      <c r="F65" s="28"/>
      <c r="G65" s="28"/>
      <c r="H65" s="28"/>
      <c r="I65" s="28"/>
      <c r="J65" s="28"/>
      <c r="K65" s="28"/>
      <c r="L65" s="28"/>
      <c r="M65" s="28"/>
      <c r="N65" s="190"/>
      <c r="R65" s="221"/>
      <c r="S65" s="221"/>
    </row>
    <row r="66" spans="1:26" ht="12.95" customHeight="1">
      <c r="A66" s="5" t="str">
        <f>IF(UMYr4!A66&lt;&gt;"",UMYr4!A66,"")</f>
        <v/>
      </c>
      <c r="B66" s="771" t="s">
        <v>558</v>
      </c>
      <c r="C66" s="772"/>
      <c r="D66" s="120">
        <f>Sponsor!H67</f>
        <v>0.437</v>
      </c>
      <c r="E66" s="631">
        <f>D66</f>
        <v>0.437</v>
      </c>
      <c r="F66" s="631">
        <f>D66</f>
        <v>0.437</v>
      </c>
      <c r="G66" s="631">
        <f>D66</f>
        <v>0.437</v>
      </c>
      <c r="H66" s="631">
        <f>D66</f>
        <v>0.437</v>
      </c>
      <c r="I66" s="631">
        <f>D66</f>
        <v>0.437</v>
      </c>
      <c r="J66" s="49"/>
      <c r="K66" s="50"/>
      <c r="L66" s="49">
        <f>$D$66</f>
        <v>0.437</v>
      </c>
      <c r="M66" s="51">
        <f>$D$66</f>
        <v>0.437</v>
      </c>
      <c r="N66" s="284"/>
      <c r="O66" s="275"/>
      <c r="P66" s="285"/>
      <c r="R66" s="135"/>
    </row>
    <row r="67" spans="1:26" ht="12.95" customHeight="1">
      <c r="A67" s="5" t="str">
        <f>IF(UMYr4!A67&lt;&gt;"",UMYr4!A67,"")</f>
        <v/>
      </c>
      <c r="B67" s="818" t="s">
        <v>559</v>
      </c>
      <c r="C67" s="763"/>
      <c r="D67" s="121">
        <f>Sponsor!H68</f>
        <v>7.6999999999999999E-2</v>
      </c>
      <c r="E67" s="632">
        <f>D67</f>
        <v>7.6999999999999999E-2</v>
      </c>
      <c r="F67" s="53">
        <f>D67</f>
        <v>7.6999999999999999E-2</v>
      </c>
      <c r="G67" s="53">
        <f>D67</f>
        <v>7.6999999999999999E-2</v>
      </c>
      <c r="H67" s="53">
        <f>D67</f>
        <v>7.6999999999999999E-2</v>
      </c>
      <c r="I67" s="53">
        <f>D67</f>
        <v>7.6999999999999999E-2</v>
      </c>
      <c r="J67" s="57"/>
      <c r="K67" s="54"/>
      <c r="L67" s="53">
        <f>$D$67</f>
        <v>7.6999999999999999E-2</v>
      </c>
      <c r="M67" s="55">
        <f>$D$67</f>
        <v>7.6999999999999999E-2</v>
      </c>
      <c r="N67" s="286"/>
      <c r="O67" s="275"/>
      <c r="P67" s="285"/>
      <c r="R67" s="135"/>
    </row>
    <row r="68" spans="1:26" ht="12.95" customHeight="1">
      <c r="A68" s="5" t="str">
        <f>IF(UMYr4!A68&lt;&gt;"",UMYr4!A68,"")</f>
        <v/>
      </c>
      <c r="B68" s="762" t="str">
        <f>UMYr4!B68</f>
        <v>F&amp;A RATE     On-Campus</v>
      </c>
      <c r="C68" s="763"/>
      <c r="D68" s="121">
        <f>Sponsor!H69</f>
        <v>0.47699999999999998</v>
      </c>
      <c r="E68" s="632">
        <f>D68</f>
        <v>0.47699999999999998</v>
      </c>
      <c r="F68" s="56">
        <f>D68</f>
        <v>0.47699999999999998</v>
      </c>
      <c r="G68" s="53">
        <f>D68</f>
        <v>0.47699999999999998</v>
      </c>
      <c r="H68" s="53">
        <f>D68</f>
        <v>0.47699999999999998</v>
      </c>
      <c r="I68" s="53">
        <f>D68</f>
        <v>0.47699999999999998</v>
      </c>
      <c r="J68" s="89">
        <f>I68</f>
        <v>0.47699999999999998</v>
      </c>
      <c r="K68" s="27"/>
      <c r="L68" s="17">
        <f>$D$68</f>
        <v>0.47699999999999998</v>
      </c>
      <c r="M68" s="615">
        <f>$D$68</f>
        <v>0.47699999999999998</v>
      </c>
      <c r="N68" s="286"/>
      <c r="O68" s="275"/>
      <c r="P68" s="285"/>
      <c r="R68" s="135"/>
    </row>
    <row r="69" spans="1:26" ht="12.95" customHeight="1" thickBot="1">
      <c r="A69" s="5" t="str">
        <f>IF(UMYr4!A69&lt;&gt;"",UMYr4!A69,"")</f>
        <v/>
      </c>
      <c r="B69" s="774" t="str">
        <f>UMYr4!B69</f>
        <v>F&amp;A RATE CHARGED</v>
      </c>
      <c r="C69" s="775"/>
      <c r="D69" s="122">
        <f>Sponsor!H70</f>
        <v>0.47699999999999998</v>
      </c>
      <c r="E69" s="633">
        <f>D69</f>
        <v>0.47699999999999998</v>
      </c>
      <c r="F69" s="224">
        <f>D69</f>
        <v>0.47699999999999998</v>
      </c>
      <c r="G69" s="630">
        <f>D69</f>
        <v>0.47699999999999998</v>
      </c>
      <c r="H69" s="224">
        <f>D69</f>
        <v>0.47699999999999998</v>
      </c>
      <c r="I69" s="224">
        <f>D69</f>
        <v>0.47699999999999998</v>
      </c>
      <c r="J69" s="224">
        <f>I69</f>
        <v>0.47699999999999998</v>
      </c>
      <c r="K69" s="59"/>
      <c r="L69" s="616">
        <v>0</v>
      </c>
      <c r="M69" s="617">
        <v>0</v>
      </c>
      <c r="N69" s="288"/>
      <c r="O69" s="5"/>
      <c r="P69" s="223"/>
      <c r="R69" s="135"/>
      <c r="S69" s="223"/>
    </row>
    <row r="70" spans="1:26" ht="12.95" customHeight="1">
      <c r="A70" s="5" t="str">
        <f>IF(UMYr4!A70&lt;&gt;"",UMYr4!A70,"")</f>
        <v/>
      </c>
      <c r="B70" s="73" t="s">
        <v>563</v>
      </c>
      <c r="C70" s="227"/>
      <c r="D70" s="227"/>
      <c r="E70" s="227"/>
      <c r="F70" s="227"/>
      <c r="G70" s="227"/>
      <c r="H70" s="227"/>
      <c r="I70" s="227"/>
      <c r="J70" s="227"/>
      <c r="K70" s="227"/>
      <c r="L70" s="227"/>
      <c r="M70" s="227"/>
      <c r="N70" s="228"/>
    </row>
    <row r="71" spans="1:26" ht="12.95" customHeight="1">
      <c r="A71" s="5" t="str">
        <f>IF(UMYr4!A71&lt;&gt;"",UMYr4!A71,"")</f>
        <v/>
      </c>
      <c r="B71" s="317"/>
      <c r="C71" s="191" t="s">
        <v>564</v>
      </c>
      <c r="D71" s="30">
        <f>Sponsor!H74</f>
        <v>0</v>
      </c>
      <c r="E71" s="31">
        <f>E13+E15+E16+E19+E20+E21+E22</f>
        <v>0</v>
      </c>
      <c r="F71" s="31">
        <f>F13+F15+F16+F19+F20+F21+F22</f>
        <v>0</v>
      </c>
      <c r="G71" s="31">
        <f>G13+G15+G16+G19+G20+G21+G22</f>
        <v>0</v>
      </c>
      <c r="H71" s="31">
        <f>H13+H15+H16+H19+H20+H21+H22</f>
        <v>0</v>
      </c>
      <c r="I71" s="31">
        <f>I13+I15+I16+I19+I20+I21+I22</f>
        <v>0</v>
      </c>
      <c r="J71" s="289">
        <f>SUM(E71:I71)</f>
        <v>0</v>
      </c>
      <c r="K71" s="30">
        <f>D71+J71</f>
        <v>0</v>
      </c>
      <c r="L71" s="31">
        <f>L13+L15+L16+L19+L20+L21+L22</f>
        <v>0</v>
      </c>
      <c r="M71" s="31">
        <f>M13+M15+M16+M19+M20+M21+M22</f>
        <v>0</v>
      </c>
      <c r="N71" s="77">
        <f>SUM(K71:M71)</f>
        <v>0</v>
      </c>
      <c r="Q71" s="223"/>
      <c r="T71" s="452" t="s">
        <v>665</v>
      </c>
      <c r="U71" s="452" t="s">
        <v>666</v>
      </c>
      <c r="V71" s="223" t="s">
        <v>667</v>
      </c>
      <c r="W71" s="223" t="s">
        <v>668</v>
      </c>
      <c r="X71" s="452" t="s">
        <v>13</v>
      </c>
      <c r="Y71" s="453" t="s">
        <v>647</v>
      </c>
      <c r="Z71" s="453" t="s">
        <v>13</v>
      </c>
    </row>
    <row r="72" spans="1:26" ht="12.95" customHeight="1">
      <c r="A72" s="5" t="str">
        <f>IF(UMYr4!A72&lt;&gt;"",UMYr4!A72,"")</f>
        <v/>
      </c>
      <c r="B72" s="317"/>
      <c r="C72" s="233" t="s">
        <v>565</v>
      </c>
      <c r="D72" s="32">
        <f>Sponsor!H75</f>
        <v>0</v>
      </c>
      <c r="E72" s="31">
        <f>E20+E21+SUM(T72:T91)</f>
        <v>0</v>
      </c>
      <c r="F72" s="31">
        <f>F20+F21+SUM(U72:U91)</f>
        <v>0</v>
      </c>
      <c r="G72" s="31">
        <f>G20+G21+SUM(V72:V91)</f>
        <v>0</v>
      </c>
      <c r="H72" s="31">
        <f>H20+H21+SUM(W72:W91)</f>
        <v>0</v>
      </c>
      <c r="I72" s="31">
        <f>I20+I21+SUM(X72:X91)</f>
        <v>0</v>
      </c>
      <c r="J72" s="11">
        <f>SUM(E72:I72)</f>
        <v>0</v>
      </c>
      <c r="K72" s="32">
        <f>D72+J72</f>
        <v>0</v>
      </c>
      <c r="L72" s="31">
        <f>L20+L21+SUM(Y72:Y91)</f>
        <v>0</v>
      </c>
      <c r="M72" s="31">
        <f>M20+M21+SUM(Z72:Z91)</f>
        <v>0</v>
      </c>
      <c r="N72" s="78">
        <f>SUM(K72:M72)</f>
        <v>0</v>
      </c>
      <c r="T72" s="198">
        <f t="shared" ref="T72:X75" si="15">IF(LEN($A8)=5,E8,0)</f>
        <v>0</v>
      </c>
      <c r="U72" s="198">
        <f t="shared" si="15"/>
        <v>0</v>
      </c>
      <c r="V72" s="198">
        <f t="shared" si="15"/>
        <v>0</v>
      </c>
      <c r="W72" s="198">
        <f t="shared" si="15"/>
        <v>0</v>
      </c>
      <c r="X72" s="198">
        <f t="shared" si="15"/>
        <v>0</v>
      </c>
      <c r="Y72" s="198">
        <f t="shared" ref="Y72:Z75" si="16">IF(LEN($A8)=5,L8,0)</f>
        <v>0</v>
      </c>
      <c r="Z72" s="198">
        <f t="shared" si="16"/>
        <v>0</v>
      </c>
    </row>
    <row r="73" spans="1:26" ht="12.95" customHeight="1">
      <c r="A73" s="5" t="str">
        <f>IF(UMYr4!A73&lt;&gt;"",UMYr4!A73,"")</f>
        <v/>
      </c>
      <c r="B73" s="940" t="s">
        <v>566</v>
      </c>
      <c r="C73" s="1038"/>
      <c r="D73" s="32">
        <f>Sponsor!H76</f>
        <v>0</v>
      </c>
      <c r="E73" s="31">
        <f>ROUND((E71-E72)*E66,0)</f>
        <v>0</v>
      </c>
      <c r="F73" s="31">
        <f>ROUND((F71-F72)*F66,0)</f>
        <v>0</v>
      </c>
      <c r="G73" s="31">
        <f>ROUND((G71-G72)*G66,0)</f>
        <v>0</v>
      </c>
      <c r="H73" s="31">
        <f>ROUND((H71-H72)*H66,0)</f>
        <v>0</v>
      </c>
      <c r="I73" s="31">
        <f>ROUND((I71-I72)*I66,0)</f>
        <v>0</v>
      </c>
      <c r="J73" s="11">
        <f>SUM(E73:I73)</f>
        <v>0</v>
      </c>
      <c r="K73" s="32">
        <f>D73+J73</f>
        <v>0</v>
      </c>
      <c r="L73" s="31">
        <f>ROUND((L71-L72)*L66,0)</f>
        <v>0</v>
      </c>
      <c r="M73" s="31">
        <f>ROUND((M71-M72)*M66,0)</f>
        <v>0</v>
      </c>
      <c r="N73" s="78">
        <f>SUM(K73:M73)</f>
        <v>0</v>
      </c>
      <c r="Q73" s="229"/>
      <c r="T73" s="198">
        <f t="shared" si="15"/>
        <v>0</v>
      </c>
      <c r="U73" s="198">
        <f t="shared" si="15"/>
        <v>0</v>
      </c>
      <c r="V73" s="198">
        <f t="shared" si="15"/>
        <v>0</v>
      </c>
      <c r="W73" s="198">
        <f t="shared" si="15"/>
        <v>0</v>
      </c>
      <c r="X73" s="198">
        <f t="shared" si="15"/>
        <v>0</v>
      </c>
      <c r="Y73" s="198">
        <f t="shared" si="16"/>
        <v>0</v>
      </c>
      <c r="Z73" s="198">
        <f t="shared" si="16"/>
        <v>0</v>
      </c>
    </row>
    <row r="74" spans="1:26" ht="12.95" customHeight="1">
      <c r="A74" s="5" t="str">
        <f>IF(UMYr4!A74&lt;&gt;"",UMYr4!A74,"")</f>
        <v/>
      </c>
      <c r="B74" s="925" t="s">
        <v>567</v>
      </c>
      <c r="C74" s="1063"/>
      <c r="D74" s="26">
        <f>Sponsor!H77</f>
        <v>0</v>
      </c>
      <c r="E74" s="34">
        <f>ROUND(E72*E67,0)</f>
        <v>0</v>
      </c>
      <c r="F74" s="34">
        <f>ROUND(F72*F67,0)</f>
        <v>0</v>
      </c>
      <c r="G74" s="34">
        <f>ROUND(G72*G67,0)</f>
        <v>0</v>
      </c>
      <c r="H74" s="34">
        <f>ROUND(H72*H67,0)</f>
        <v>0</v>
      </c>
      <c r="I74" s="34">
        <f>ROUND(I72*I67,0)</f>
        <v>0</v>
      </c>
      <c r="J74" s="290">
        <f>SUM(E74:I74)</f>
        <v>0</v>
      </c>
      <c r="K74" s="26">
        <f>D74+J74</f>
        <v>0</v>
      </c>
      <c r="L74" s="34">
        <f>ROUND(L72*L67,0)</f>
        <v>0</v>
      </c>
      <c r="M74" s="34">
        <f>ROUND(M72*M67,0)</f>
        <v>0</v>
      </c>
      <c r="N74" s="174">
        <f>SUM(K74:M74)</f>
        <v>0</v>
      </c>
      <c r="Q74" s="229"/>
      <c r="T74" s="198">
        <f t="shared" si="15"/>
        <v>0</v>
      </c>
      <c r="U74" s="198">
        <f t="shared" si="15"/>
        <v>0</v>
      </c>
      <c r="V74" s="198">
        <f t="shared" si="15"/>
        <v>0</v>
      </c>
      <c r="W74" s="198">
        <f t="shared" si="15"/>
        <v>0</v>
      </c>
      <c r="X74" s="198">
        <f t="shared" si="15"/>
        <v>0</v>
      </c>
      <c r="Y74" s="198">
        <f t="shared" si="16"/>
        <v>0</v>
      </c>
      <c r="Z74" s="198">
        <f t="shared" si="16"/>
        <v>0</v>
      </c>
    </row>
    <row r="75" spans="1:26" ht="12.95" customHeight="1" thickBot="1">
      <c r="A75" s="5" t="str">
        <f>IF(UMYr4!A75&lt;&gt;"",UMYr4!A75,"")</f>
        <v/>
      </c>
      <c r="B75" s="950" t="s">
        <v>568</v>
      </c>
      <c r="C75" s="1040"/>
      <c r="D75" s="182">
        <f>Sponsor!H78</f>
        <v>0</v>
      </c>
      <c r="E75" s="183">
        <f>E73+E74</f>
        <v>0</v>
      </c>
      <c r="F75" s="183">
        <f>F73+F74</f>
        <v>0</v>
      </c>
      <c r="G75" s="183">
        <f>G73+G74</f>
        <v>0</v>
      </c>
      <c r="H75" s="183">
        <f>H73+H74</f>
        <v>0</v>
      </c>
      <c r="I75" s="183">
        <f>I73+I74</f>
        <v>0</v>
      </c>
      <c r="J75" s="291">
        <f>SUM(E75:I75)</f>
        <v>0</v>
      </c>
      <c r="K75" s="182">
        <f>D75+J75</f>
        <v>0</v>
      </c>
      <c r="L75" s="183">
        <f>L73+L74</f>
        <v>0</v>
      </c>
      <c r="M75" s="183">
        <f>M73+M74</f>
        <v>0</v>
      </c>
      <c r="N75" s="185">
        <f>SUM(K75:M75)</f>
        <v>0</v>
      </c>
      <c r="Q75" s="229"/>
      <c r="T75" s="198">
        <f t="shared" si="15"/>
        <v>0</v>
      </c>
      <c r="U75" s="198">
        <f t="shared" si="15"/>
        <v>0</v>
      </c>
      <c r="V75" s="198">
        <f t="shared" si="15"/>
        <v>0</v>
      </c>
      <c r="W75" s="198">
        <f t="shared" si="15"/>
        <v>0</v>
      </c>
      <c r="X75" s="198">
        <f t="shared" si="15"/>
        <v>0</v>
      </c>
      <c r="Y75" s="198">
        <f t="shared" si="16"/>
        <v>0</v>
      </c>
      <c r="Z75" s="198">
        <f t="shared" si="16"/>
        <v>0</v>
      </c>
    </row>
    <row r="76" spans="1:26" ht="12.95" customHeight="1">
      <c r="A76" s="5" t="str">
        <f>IF(UMYr4!A76&lt;&gt;"",UMYr4!A76,"")</f>
        <v/>
      </c>
      <c r="B76" s="74" t="s">
        <v>685</v>
      </c>
      <c r="C76" s="230"/>
      <c r="D76" s="230"/>
      <c r="E76" s="230"/>
      <c r="F76" s="230"/>
      <c r="G76" s="230"/>
      <c r="H76" s="230"/>
      <c r="I76" s="230"/>
      <c r="J76" s="230"/>
      <c r="K76" s="230"/>
      <c r="L76" s="230"/>
      <c r="M76" s="230"/>
      <c r="N76" s="231"/>
      <c r="O76" s="134"/>
      <c r="P76" s="134"/>
      <c r="T76" s="451">
        <f t="shared" ref="T76:T91" si="17">IF(LEN($A86)=5,E86,0)</f>
        <v>0</v>
      </c>
      <c r="U76" s="198">
        <f t="shared" ref="U76:U91" si="18">IF(LEN($A86)=5,F86,0)</f>
        <v>0</v>
      </c>
      <c r="V76" s="198">
        <f t="shared" ref="V76:V91" si="19">IF(LEN($A86)=5,G86,0)</f>
        <v>0</v>
      </c>
      <c r="W76" s="198">
        <f t="shared" ref="W76:W91" si="20">IF(LEN($A86)=5,H86,0)</f>
        <v>0</v>
      </c>
      <c r="X76" s="198">
        <f t="shared" ref="X76:X91" si="21">IF(LEN($A86)=5,I86,0)</f>
        <v>0</v>
      </c>
      <c r="Y76" s="198">
        <f t="shared" ref="Y76:Y91" si="22">IF(LEN($A86)=5,L86,0)</f>
        <v>0</v>
      </c>
      <c r="Z76" s="198">
        <f t="shared" ref="Z76:Z91" si="23">IF(LEN($A86)=5,M86,0)</f>
        <v>0</v>
      </c>
    </row>
    <row r="77" spans="1:26" ht="12.95" customHeight="1">
      <c r="A77" s="5" t="str">
        <f>IF(UMYr4!A77&lt;&gt;"",UMYr4!A77,"")</f>
        <v/>
      </c>
      <c r="B77" s="953" t="s">
        <v>681</v>
      </c>
      <c r="C77" s="772"/>
      <c r="D77" s="665">
        <f>Sponsor!H80</f>
        <v>0</v>
      </c>
      <c r="E77" s="337"/>
      <c r="F77" s="189"/>
      <c r="G77" s="189"/>
      <c r="H77" s="189"/>
      <c r="I77" s="189"/>
      <c r="J77" s="189"/>
      <c r="K77" s="28"/>
      <c r="L77" s="28"/>
      <c r="M77" s="28"/>
      <c r="N77" s="172"/>
      <c r="T77" s="198">
        <f t="shared" si="17"/>
        <v>0</v>
      </c>
      <c r="U77" s="198">
        <f t="shared" si="18"/>
        <v>0</v>
      </c>
      <c r="V77" s="198">
        <f t="shared" si="19"/>
        <v>0</v>
      </c>
      <c r="W77" s="198">
        <f t="shared" si="20"/>
        <v>0</v>
      </c>
      <c r="X77" s="198">
        <f t="shared" si="21"/>
        <v>0</v>
      </c>
      <c r="Y77" s="198">
        <f t="shared" si="22"/>
        <v>0</v>
      </c>
      <c r="Z77" s="198">
        <f t="shared" si="23"/>
        <v>0</v>
      </c>
    </row>
    <row r="78" spans="1:26" ht="12.95" customHeight="1">
      <c r="A78" s="5" t="str">
        <f>IF(UMYr4!A78&lt;&gt;"",UMYr4!A78,"")</f>
        <v/>
      </c>
      <c r="B78" s="940" t="s">
        <v>542</v>
      </c>
      <c r="C78" s="1038"/>
      <c r="D78" s="31">
        <f>Sponsor!H81</f>
        <v>0</v>
      </c>
      <c r="E78" s="111">
        <f t="shared" ref="E78:J78" si="24">E53</f>
        <v>0</v>
      </c>
      <c r="F78" s="112">
        <f t="shared" si="24"/>
        <v>0</v>
      </c>
      <c r="G78" s="112">
        <f t="shared" si="24"/>
        <v>0</v>
      </c>
      <c r="H78" s="112">
        <f t="shared" si="24"/>
        <v>0</v>
      </c>
      <c r="I78" s="112">
        <f t="shared" si="24"/>
        <v>0</v>
      </c>
      <c r="J78" s="11">
        <f t="shared" si="24"/>
        <v>0</v>
      </c>
      <c r="K78" s="11">
        <f>D78+J78</f>
        <v>0</v>
      </c>
      <c r="L78" s="346">
        <f>L53</f>
        <v>0</v>
      </c>
      <c r="M78" s="977" t="s">
        <v>658</v>
      </c>
      <c r="N78" s="78">
        <f t="shared" ref="N78:N84" si="25">SUM(K78:M78)</f>
        <v>0</v>
      </c>
      <c r="T78" s="198">
        <f t="shared" si="17"/>
        <v>0</v>
      </c>
      <c r="U78" s="198">
        <f t="shared" si="18"/>
        <v>0</v>
      </c>
      <c r="V78" s="198">
        <f t="shared" si="19"/>
        <v>0</v>
      </c>
      <c r="W78" s="198">
        <f t="shared" si="20"/>
        <v>0</v>
      </c>
      <c r="X78" s="198">
        <f t="shared" si="21"/>
        <v>0</v>
      </c>
      <c r="Y78" s="198">
        <f t="shared" si="22"/>
        <v>0</v>
      </c>
      <c r="Z78" s="198">
        <f t="shared" si="23"/>
        <v>0</v>
      </c>
    </row>
    <row r="79" spans="1:26" ht="12.95" customHeight="1">
      <c r="A79" s="5" t="str">
        <f>IF(UMYr4!A79&lt;&gt;"",UMYr4!A79,"")</f>
        <v/>
      </c>
      <c r="B79" s="940" t="s">
        <v>570</v>
      </c>
      <c r="C79" s="1038"/>
      <c r="D79" s="31">
        <f>Sponsor!H82</f>
        <v>0</v>
      </c>
      <c r="E79" s="111">
        <f t="shared" ref="E79:J79" si="26">-E31</f>
        <v>0</v>
      </c>
      <c r="F79" s="112">
        <f t="shared" si="26"/>
        <v>0</v>
      </c>
      <c r="G79" s="112">
        <f t="shared" si="26"/>
        <v>0</v>
      </c>
      <c r="H79" s="112">
        <f t="shared" si="26"/>
        <v>0</v>
      </c>
      <c r="I79" s="112">
        <f t="shared" si="26"/>
        <v>0</v>
      </c>
      <c r="J79" s="11">
        <f t="shared" si="26"/>
        <v>0</v>
      </c>
      <c r="K79" s="11">
        <f t="shared" ref="K79:K84" si="27">D79+J79</f>
        <v>0</v>
      </c>
      <c r="L79" s="414">
        <f>-L31</f>
        <v>0</v>
      </c>
      <c r="M79" s="986"/>
      <c r="N79" s="78">
        <f t="shared" si="25"/>
        <v>0</v>
      </c>
      <c r="T79" s="198">
        <f t="shared" si="17"/>
        <v>0</v>
      </c>
      <c r="U79" s="198">
        <f t="shared" si="18"/>
        <v>0</v>
      </c>
      <c r="V79" s="198">
        <f t="shared" si="19"/>
        <v>0</v>
      </c>
      <c r="W79" s="198">
        <f t="shared" si="20"/>
        <v>0</v>
      </c>
      <c r="X79" s="198">
        <f t="shared" si="21"/>
        <v>0</v>
      </c>
      <c r="Y79" s="198">
        <f t="shared" si="22"/>
        <v>0</v>
      </c>
      <c r="Z79" s="198">
        <f t="shared" si="23"/>
        <v>0</v>
      </c>
    </row>
    <row r="80" spans="1:26" ht="12.95" customHeight="1">
      <c r="A80" s="5" t="str">
        <f>IF(UMYr4!A80&lt;&gt;"",UMYr4!A80,"")</f>
        <v/>
      </c>
      <c r="B80" s="940" t="s">
        <v>571</v>
      </c>
      <c r="C80" s="1038"/>
      <c r="D80" s="31">
        <f>Sponsor!H83</f>
        <v>0</v>
      </c>
      <c r="E80" s="111">
        <f>-E42</f>
        <v>0</v>
      </c>
      <c r="F80" s="112">
        <f>-F42</f>
        <v>0</v>
      </c>
      <c r="G80" s="112">
        <f>-G42</f>
        <v>0</v>
      </c>
      <c r="H80" s="112">
        <f>-H42</f>
        <v>0</v>
      </c>
      <c r="I80" s="112">
        <f>-I42</f>
        <v>0</v>
      </c>
      <c r="J80" s="11">
        <f>SUM(E80:I80)</f>
        <v>0</v>
      </c>
      <c r="K80" s="11">
        <f t="shared" si="27"/>
        <v>0</v>
      </c>
      <c r="L80" s="414">
        <f>-L42</f>
        <v>0</v>
      </c>
      <c r="M80" s="986"/>
      <c r="N80" s="78">
        <f t="shared" si="25"/>
        <v>0</v>
      </c>
      <c r="T80" s="198">
        <f t="shared" si="17"/>
        <v>0</v>
      </c>
      <c r="U80" s="198">
        <f t="shared" si="18"/>
        <v>0</v>
      </c>
      <c r="V80" s="198">
        <f t="shared" si="19"/>
        <v>0</v>
      </c>
      <c r="W80" s="198">
        <f t="shared" si="20"/>
        <v>0</v>
      </c>
      <c r="X80" s="198">
        <f t="shared" si="21"/>
        <v>0</v>
      </c>
      <c r="Y80" s="198">
        <f t="shared" si="22"/>
        <v>0</v>
      </c>
      <c r="Z80" s="198">
        <f t="shared" si="23"/>
        <v>0</v>
      </c>
    </row>
    <row r="81" spans="1:26" ht="12.95" customHeight="1">
      <c r="A81" s="5" t="str">
        <f>IF(UMYr4!A81&lt;&gt;"",UMYr4!A81,"")</f>
        <v/>
      </c>
      <c r="B81" s="940" t="s">
        <v>572</v>
      </c>
      <c r="C81" s="1038"/>
      <c r="D81" s="31">
        <f>Sponsor!H84</f>
        <v>0</v>
      </c>
      <c r="E81" s="111">
        <f t="shared" ref="E81:J81" si="28">-E49</f>
        <v>0</v>
      </c>
      <c r="F81" s="112">
        <f t="shared" si="28"/>
        <v>0</v>
      </c>
      <c r="G81" s="112">
        <f t="shared" si="28"/>
        <v>0</v>
      </c>
      <c r="H81" s="112">
        <f t="shared" si="28"/>
        <v>0</v>
      </c>
      <c r="I81" s="112">
        <f t="shared" si="28"/>
        <v>0</v>
      </c>
      <c r="J81" s="11">
        <f t="shared" si="28"/>
        <v>0</v>
      </c>
      <c r="K81" s="11">
        <f t="shared" si="27"/>
        <v>0</v>
      </c>
      <c r="L81" s="414">
        <f>-L49</f>
        <v>0</v>
      </c>
      <c r="M81" s="986"/>
      <c r="N81" s="78">
        <f t="shared" si="25"/>
        <v>0</v>
      </c>
      <c r="T81" s="198">
        <f t="shared" si="17"/>
        <v>0</v>
      </c>
      <c r="U81" s="198">
        <f t="shared" si="18"/>
        <v>0</v>
      </c>
      <c r="V81" s="198">
        <f t="shared" si="19"/>
        <v>0</v>
      </c>
      <c r="W81" s="198">
        <f t="shared" si="20"/>
        <v>0</v>
      </c>
      <c r="X81" s="198">
        <f t="shared" si="21"/>
        <v>0</v>
      </c>
      <c r="Y81" s="198">
        <f t="shared" si="22"/>
        <v>0</v>
      </c>
      <c r="Z81" s="198">
        <f t="shared" si="23"/>
        <v>0</v>
      </c>
    </row>
    <row r="82" spans="1:26" ht="12.95" customHeight="1">
      <c r="A82" s="5" t="str">
        <f>IF(UMYr4!A82&lt;&gt;"",UMYr4!A82,"")</f>
        <v/>
      </c>
      <c r="B82" s="317"/>
      <c r="C82" s="233" t="s">
        <v>573</v>
      </c>
      <c r="D82" s="23">
        <f>Sponsor!H85</f>
        <v>0</v>
      </c>
      <c r="E82" s="165" t="s">
        <v>658</v>
      </c>
      <c r="F82" s="123" t="s">
        <v>658</v>
      </c>
      <c r="G82" s="123" t="s">
        <v>658</v>
      </c>
      <c r="H82" s="123" t="s">
        <v>658</v>
      </c>
      <c r="I82" s="123" t="s">
        <v>658</v>
      </c>
      <c r="J82" s="43">
        <f>-UMYr1!X142</f>
        <v>0</v>
      </c>
      <c r="K82" s="11">
        <f>D82+J82</f>
        <v>0</v>
      </c>
      <c r="L82" s="414" t="s">
        <v>658</v>
      </c>
      <c r="M82" s="986"/>
      <c r="N82" s="173">
        <f>K82</f>
        <v>0</v>
      </c>
      <c r="T82" s="198">
        <f t="shared" si="17"/>
        <v>0</v>
      </c>
      <c r="U82" s="198">
        <f t="shared" si="18"/>
        <v>0</v>
      </c>
      <c r="V82" s="198">
        <f t="shared" si="19"/>
        <v>0</v>
      </c>
      <c r="W82" s="198">
        <f t="shared" si="20"/>
        <v>0</v>
      </c>
      <c r="X82" s="198">
        <f t="shared" si="21"/>
        <v>0</v>
      </c>
      <c r="Y82" s="198">
        <f t="shared" si="22"/>
        <v>0</v>
      </c>
      <c r="Z82" s="198">
        <f t="shared" si="23"/>
        <v>0</v>
      </c>
    </row>
    <row r="83" spans="1:26" ht="12.95" customHeight="1">
      <c r="A83" s="5" t="str">
        <f>IF(UMYr4!A83&lt;&gt;"",UMYr4!A83,"")</f>
        <v/>
      </c>
      <c r="B83" s="955" t="str">
        <f>IF(UMYr1!B83="","",UMYr1!B83)</f>
        <v xml:space="preserve">ENTER (minus) Other Adjustments, if any </v>
      </c>
      <c r="C83" s="1038" t="str">
        <f>IF(UMYr1!C83="","",UMYr1!C83)</f>
        <v/>
      </c>
      <c r="D83" s="114">
        <f>Sponsor!H86</f>
        <v>0</v>
      </c>
      <c r="E83" s="65"/>
      <c r="F83" s="8"/>
      <c r="G83" s="8"/>
      <c r="H83" s="8"/>
      <c r="I83" s="8"/>
      <c r="J83" s="133"/>
      <c r="K83" s="11">
        <f t="shared" si="27"/>
        <v>0</v>
      </c>
      <c r="L83" s="365"/>
      <c r="M83" s="987"/>
      <c r="N83" s="173">
        <f t="shared" si="25"/>
        <v>0</v>
      </c>
      <c r="T83" s="198">
        <f t="shared" si="17"/>
        <v>0</v>
      </c>
      <c r="U83" s="198">
        <f t="shared" si="18"/>
        <v>0</v>
      </c>
      <c r="V83" s="198">
        <f t="shared" si="19"/>
        <v>0</v>
      </c>
      <c r="W83" s="198">
        <f t="shared" si="20"/>
        <v>0</v>
      </c>
      <c r="X83" s="198">
        <f t="shared" si="21"/>
        <v>0</v>
      </c>
      <c r="Y83" s="198">
        <f t="shared" si="22"/>
        <v>0</v>
      </c>
      <c r="Z83" s="198">
        <f t="shared" si="23"/>
        <v>0</v>
      </c>
    </row>
    <row r="84" spans="1:26" s="235" customFormat="1" ht="12.95" customHeight="1" thickBot="1">
      <c r="A84" s="343" t="str">
        <f>IF(UMYr4!A84&lt;&gt;"",UMYr4!A84,"")</f>
        <v/>
      </c>
      <c r="B84" s="950" t="s">
        <v>575</v>
      </c>
      <c r="C84" s="1040"/>
      <c r="D84" s="71">
        <f>Sponsor!H87</f>
        <v>0</v>
      </c>
      <c r="E84" s="99">
        <f t="shared" ref="E84:J84" si="29">IF($D$77="TDC",E53,SUM(E78:E83))</f>
        <v>0</v>
      </c>
      <c r="F84" s="128">
        <f t="shared" si="29"/>
        <v>0</v>
      </c>
      <c r="G84" s="128">
        <f t="shared" si="29"/>
        <v>0</v>
      </c>
      <c r="H84" s="128">
        <f t="shared" si="29"/>
        <v>0</v>
      </c>
      <c r="I84" s="128">
        <f t="shared" si="29"/>
        <v>0</v>
      </c>
      <c r="J84" s="293">
        <f t="shared" si="29"/>
        <v>0</v>
      </c>
      <c r="K84" s="293">
        <f t="shared" si="27"/>
        <v>0</v>
      </c>
      <c r="L84" s="415">
        <f>IF($D$77="TDC",L53,SUM(L78:L83))</f>
        <v>0</v>
      </c>
      <c r="M84" s="415">
        <f>IF($D$77="TDC",M53,SUM(M78:M83))</f>
        <v>0</v>
      </c>
      <c r="N84" s="79">
        <f t="shared" si="25"/>
        <v>0</v>
      </c>
      <c r="O84"/>
      <c r="P84"/>
      <c r="T84" s="450">
        <f t="shared" si="17"/>
        <v>0</v>
      </c>
      <c r="U84" s="450">
        <f t="shared" si="18"/>
        <v>0</v>
      </c>
      <c r="V84" s="450">
        <f t="shared" si="19"/>
        <v>0</v>
      </c>
      <c r="W84" s="450">
        <f t="shared" si="20"/>
        <v>0</v>
      </c>
      <c r="X84" s="450">
        <f t="shared" si="21"/>
        <v>0</v>
      </c>
      <c r="Y84" s="450">
        <f t="shared" si="22"/>
        <v>0</v>
      </c>
      <c r="Z84" s="450">
        <f t="shared" si="23"/>
        <v>0</v>
      </c>
    </row>
    <row r="85" spans="1:26" ht="12.95" customHeight="1">
      <c r="A85" s="665" t="str">
        <f>IF(UMYr4!A85&lt;&gt;"",UMYr4!A85,"")</f>
        <v/>
      </c>
      <c r="B85" s="84" t="str">
        <f>IF(UMYr1!B85="","",UMYr1!B85)</f>
        <v>ADDITIONAL SENIOR PERSONNEL - names and account codes must be entered in Sponsor tab</v>
      </c>
      <c r="C85" s="230"/>
      <c r="D85" s="230"/>
      <c r="E85" s="230"/>
      <c r="F85" s="230"/>
      <c r="G85" s="230"/>
      <c r="H85" s="230"/>
      <c r="I85" s="230"/>
      <c r="J85" s="230"/>
      <c r="K85" s="230"/>
      <c r="L85" s="230"/>
      <c r="M85" s="230"/>
      <c r="N85" s="231"/>
      <c r="O85" s="225"/>
      <c r="P85" s="225"/>
      <c r="T85" s="198">
        <f t="shared" si="17"/>
        <v>0</v>
      </c>
      <c r="U85" s="198">
        <f t="shared" si="18"/>
        <v>0</v>
      </c>
      <c r="V85" s="198">
        <f t="shared" si="19"/>
        <v>0</v>
      </c>
      <c r="W85" s="198">
        <f t="shared" si="20"/>
        <v>0</v>
      </c>
      <c r="X85" s="198">
        <f t="shared" si="21"/>
        <v>0</v>
      </c>
      <c r="Y85" s="198">
        <f t="shared" si="22"/>
        <v>0</v>
      </c>
      <c r="Z85" s="198">
        <f t="shared" si="23"/>
        <v>0</v>
      </c>
    </row>
    <row r="86" spans="1:26" ht="12.95" customHeight="1">
      <c r="A86" s="679" t="str">
        <f>IF(UMYr4!A86&lt;&gt;"",UMYr4!A86,"")</f>
        <v/>
      </c>
      <c r="B86" s="85" t="str">
        <f>UMYr1!B86</f>
        <v/>
      </c>
      <c r="C86" s="680" t="str">
        <f>IF(UMYr1!C86="","",UMYr1!C86)</f>
        <v/>
      </c>
      <c r="D86" s="105">
        <f>Sponsor!H89</f>
        <v>0</v>
      </c>
      <c r="E86" s="7"/>
      <c r="F86" s="7"/>
      <c r="G86" s="7"/>
      <c r="H86" s="7"/>
      <c r="I86" s="7"/>
      <c r="J86" s="29">
        <f t="shared" ref="J86:J101" si="30">SUM(E86:I86)</f>
        <v>0</v>
      </c>
      <c r="K86" s="30">
        <f t="shared" ref="K86:K101" si="31">D86+J86</f>
        <v>0</v>
      </c>
      <c r="L86" s="7"/>
      <c r="M86" s="7"/>
      <c r="N86" s="77">
        <f t="shared" ref="N86:N101" si="32">SUM(K86:M86)</f>
        <v>0</v>
      </c>
      <c r="O86" s="237"/>
      <c r="P86" s="237"/>
      <c r="T86" s="198">
        <f t="shared" si="17"/>
        <v>0</v>
      </c>
      <c r="U86" s="198">
        <f t="shared" si="18"/>
        <v>0</v>
      </c>
      <c r="V86" s="198">
        <f t="shared" si="19"/>
        <v>0</v>
      </c>
      <c r="W86" s="198">
        <f t="shared" si="20"/>
        <v>0</v>
      </c>
      <c r="X86" s="198">
        <f t="shared" si="21"/>
        <v>0</v>
      </c>
      <c r="Y86" s="198">
        <f t="shared" si="22"/>
        <v>0</v>
      </c>
      <c r="Z86" s="198">
        <f t="shared" si="23"/>
        <v>0</v>
      </c>
    </row>
    <row r="87" spans="1:26" ht="12.95" customHeight="1">
      <c r="A87" s="679" t="str">
        <f>IF(UMYr4!A87&lt;&gt;"",UMYr4!A87,"")</f>
        <v/>
      </c>
      <c r="B87" s="85" t="str">
        <f>UMYr1!B87</f>
        <v/>
      </c>
      <c r="C87" s="680" t="str">
        <f>IF(UMYr1!C87="","",UMYr1!C87)</f>
        <v/>
      </c>
      <c r="D87" s="106">
        <f>Sponsor!H90</f>
        <v>0</v>
      </c>
      <c r="E87" s="8"/>
      <c r="F87" s="8"/>
      <c r="G87" s="8"/>
      <c r="H87" s="8"/>
      <c r="I87" s="8"/>
      <c r="J87" s="31">
        <f t="shared" si="30"/>
        <v>0</v>
      </c>
      <c r="K87" s="32">
        <f t="shared" si="31"/>
        <v>0</v>
      </c>
      <c r="L87" s="8"/>
      <c r="M87" s="8"/>
      <c r="N87" s="78">
        <f t="shared" si="32"/>
        <v>0</v>
      </c>
      <c r="O87" s="237"/>
      <c r="P87" s="237"/>
      <c r="T87" s="198">
        <f t="shared" si="17"/>
        <v>0</v>
      </c>
      <c r="U87" s="198">
        <f t="shared" si="18"/>
        <v>0</v>
      </c>
      <c r="V87" s="198">
        <f t="shared" si="19"/>
        <v>0</v>
      </c>
      <c r="W87" s="198">
        <f t="shared" si="20"/>
        <v>0</v>
      </c>
      <c r="X87" s="198">
        <f t="shared" si="21"/>
        <v>0</v>
      </c>
      <c r="Y87" s="198">
        <f t="shared" si="22"/>
        <v>0</v>
      </c>
      <c r="Z87" s="198">
        <f t="shared" si="23"/>
        <v>0</v>
      </c>
    </row>
    <row r="88" spans="1:26" ht="12.95" customHeight="1">
      <c r="A88" s="679" t="str">
        <f>IF(UMYr4!A88&lt;&gt;"",UMYr4!A88,"")</f>
        <v/>
      </c>
      <c r="B88" s="85" t="str">
        <f>UMYr1!B88</f>
        <v/>
      </c>
      <c r="C88" s="680" t="str">
        <f>IF(UMYr1!C88="","",UMYr1!C88)</f>
        <v/>
      </c>
      <c r="D88" s="106">
        <f>Sponsor!H91</f>
        <v>0</v>
      </c>
      <c r="E88" s="8"/>
      <c r="F88" s="8"/>
      <c r="G88" s="8"/>
      <c r="H88" s="8"/>
      <c r="I88" s="8"/>
      <c r="J88" s="31">
        <f t="shared" si="30"/>
        <v>0</v>
      </c>
      <c r="K88" s="32">
        <f t="shared" si="31"/>
        <v>0</v>
      </c>
      <c r="L88" s="8"/>
      <c r="M88" s="8"/>
      <c r="N88" s="78">
        <f t="shared" si="32"/>
        <v>0</v>
      </c>
      <c r="O88" s="237"/>
      <c r="P88" s="237"/>
      <c r="T88" s="198">
        <f t="shared" si="17"/>
        <v>0</v>
      </c>
      <c r="U88" s="198">
        <f t="shared" si="18"/>
        <v>0</v>
      </c>
      <c r="V88" s="198">
        <f t="shared" si="19"/>
        <v>0</v>
      </c>
      <c r="W88" s="198">
        <f t="shared" si="20"/>
        <v>0</v>
      </c>
      <c r="X88" s="198">
        <f t="shared" si="21"/>
        <v>0</v>
      </c>
      <c r="Y88" s="198">
        <f t="shared" si="22"/>
        <v>0</v>
      </c>
      <c r="Z88" s="198">
        <f t="shared" si="23"/>
        <v>0</v>
      </c>
    </row>
    <row r="89" spans="1:26" ht="12.95" customHeight="1">
      <c r="A89" s="679" t="str">
        <f>IF(UMYr4!A89&lt;&gt;"",UMYr4!A89,"")</f>
        <v/>
      </c>
      <c r="B89" s="85" t="str">
        <f>UMYr1!B89</f>
        <v/>
      </c>
      <c r="C89" s="680" t="str">
        <f>IF(UMYr1!C89="","",UMYr1!C89)</f>
        <v/>
      </c>
      <c r="D89" s="106">
        <f>Sponsor!H92</f>
        <v>0</v>
      </c>
      <c r="E89" s="8"/>
      <c r="F89" s="8"/>
      <c r="G89" s="8"/>
      <c r="H89" s="8"/>
      <c r="I89" s="8"/>
      <c r="J89" s="31">
        <f t="shared" si="30"/>
        <v>0</v>
      </c>
      <c r="K89" s="32">
        <f t="shared" si="31"/>
        <v>0</v>
      </c>
      <c r="L89" s="8"/>
      <c r="M89" s="8"/>
      <c r="N89" s="78">
        <f t="shared" si="32"/>
        <v>0</v>
      </c>
      <c r="O89" s="237"/>
      <c r="P89" s="237"/>
      <c r="T89" s="198">
        <f t="shared" si="17"/>
        <v>0</v>
      </c>
      <c r="U89" s="198">
        <f t="shared" si="18"/>
        <v>0</v>
      </c>
      <c r="V89" s="198">
        <f t="shared" si="19"/>
        <v>0</v>
      </c>
      <c r="W89" s="198">
        <f t="shared" si="20"/>
        <v>0</v>
      </c>
      <c r="X89" s="198">
        <f t="shared" si="21"/>
        <v>0</v>
      </c>
      <c r="Y89" s="198">
        <f t="shared" si="22"/>
        <v>0</v>
      </c>
      <c r="Z89" s="198">
        <f t="shared" si="23"/>
        <v>0</v>
      </c>
    </row>
    <row r="90" spans="1:26" ht="12.95" customHeight="1">
      <c r="A90" s="679" t="str">
        <f>IF(UMYr4!A90&lt;&gt;"",UMYr4!A90,"")</f>
        <v/>
      </c>
      <c r="B90" s="85" t="str">
        <f>UMYr1!B90</f>
        <v/>
      </c>
      <c r="C90" s="680" t="str">
        <f>IF(UMYr1!C90="","",UMYr1!C90)</f>
        <v/>
      </c>
      <c r="D90" s="106">
        <f>Sponsor!H93</f>
        <v>0</v>
      </c>
      <c r="E90" s="8"/>
      <c r="F90" s="8"/>
      <c r="G90" s="8"/>
      <c r="H90" s="8"/>
      <c r="I90" s="8"/>
      <c r="J90" s="31">
        <f t="shared" si="30"/>
        <v>0</v>
      </c>
      <c r="K90" s="32">
        <f t="shared" si="31"/>
        <v>0</v>
      </c>
      <c r="L90" s="8"/>
      <c r="M90" s="8"/>
      <c r="N90" s="78">
        <f t="shared" si="32"/>
        <v>0</v>
      </c>
      <c r="O90" s="237"/>
      <c r="P90" s="237"/>
      <c r="T90" s="198">
        <f t="shared" si="17"/>
        <v>0</v>
      </c>
      <c r="U90" s="198">
        <f t="shared" si="18"/>
        <v>0</v>
      </c>
      <c r="V90" s="198">
        <f t="shared" si="19"/>
        <v>0</v>
      </c>
      <c r="W90" s="198">
        <f t="shared" si="20"/>
        <v>0</v>
      </c>
      <c r="X90" s="198">
        <f t="shared" si="21"/>
        <v>0</v>
      </c>
      <c r="Y90" s="198">
        <f t="shared" si="22"/>
        <v>0</v>
      </c>
      <c r="Z90" s="198">
        <f t="shared" si="23"/>
        <v>0</v>
      </c>
    </row>
    <row r="91" spans="1:26" ht="12.95" customHeight="1">
      <c r="A91" s="679" t="str">
        <f>IF(UMYr4!A91&lt;&gt;"",UMYr4!A91,"")</f>
        <v/>
      </c>
      <c r="B91" s="85" t="str">
        <f>UMYr1!B91</f>
        <v/>
      </c>
      <c r="C91" s="680" t="str">
        <f>IF(UMYr1!C91="","",UMYr1!C91)</f>
        <v/>
      </c>
      <c r="D91" s="106">
        <f>Sponsor!H94</f>
        <v>0</v>
      </c>
      <c r="E91" s="8"/>
      <c r="F91" s="8"/>
      <c r="G91" s="8"/>
      <c r="H91" s="8"/>
      <c r="I91" s="8"/>
      <c r="J91" s="31">
        <f t="shared" si="30"/>
        <v>0</v>
      </c>
      <c r="K91" s="32">
        <f t="shared" si="31"/>
        <v>0</v>
      </c>
      <c r="L91" s="8"/>
      <c r="M91" s="8"/>
      <c r="N91" s="78">
        <f t="shared" si="32"/>
        <v>0</v>
      </c>
      <c r="O91" s="237"/>
      <c r="P91" s="237"/>
      <c r="T91" s="198">
        <f t="shared" si="17"/>
        <v>0</v>
      </c>
      <c r="U91" s="198">
        <f t="shared" si="18"/>
        <v>0</v>
      </c>
      <c r="V91" s="198">
        <f t="shared" si="19"/>
        <v>0</v>
      </c>
      <c r="W91" s="198">
        <f t="shared" si="20"/>
        <v>0</v>
      </c>
      <c r="X91" s="198">
        <f t="shared" si="21"/>
        <v>0</v>
      </c>
      <c r="Y91" s="198">
        <f t="shared" si="22"/>
        <v>0</v>
      </c>
      <c r="Z91" s="198">
        <f t="shared" si="23"/>
        <v>0</v>
      </c>
    </row>
    <row r="92" spans="1:26" ht="12.95" customHeight="1">
      <c r="A92" s="679" t="str">
        <f>IF(UMYr4!A92&lt;&gt;"",UMYr4!A92,"")</f>
        <v/>
      </c>
      <c r="B92" s="85" t="str">
        <f>UMYr1!B92</f>
        <v/>
      </c>
      <c r="C92" s="680" t="str">
        <f>IF(UMYr1!C92="","",UMYr1!C92)</f>
        <v/>
      </c>
      <c r="D92" s="106">
        <f>Sponsor!H95</f>
        <v>0</v>
      </c>
      <c r="E92" s="8"/>
      <c r="F92" s="8"/>
      <c r="G92" s="8"/>
      <c r="H92" s="8"/>
      <c r="I92" s="8"/>
      <c r="J92" s="31">
        <f t="shared" si="30"/>
        <v>0</v>
      </c>
      <c r="K92" s="32">
        <f t="shared" si="31"/>
        <v>0</v>
      </c>
      <c r="L92" s="8"/>
      <c r="M92" s="8"/>
      <c r="N92" s="78">
        <f t="shared" si="32"/>
        <v>0</v>
      </c>
      <c r="O92" s="237"/>
      <c r="P92" s="237"/>
    </row>
    <row r="93" spans="1:26" ht="12.95" customHeight="1">
      <c r="A93" s="679" t="str">
        <f>IF(UMYr4!A93&lt;&gt;"",UMYr4!A93,"")</f>
        <v/>
      </c>
      <c r="B93" s="85" t="str">
        <f>UMYr1!B93</f>
        <v/>
      </c>
      <c r="C93" s="680" t="str">
        <f>IF(UMYr1!C93="","",UMYr1!C93)</f>
        <v/>
      </c>
      <c r="D93" s="106">
        <f>Sponsor!H96</f>
        <v>0</v>
      </c>
      <c r="E93" s="8"/>
      <c r="F93" s="8"/>
      <c r="G93" s="8"/>
      <c r="H93" s="8"/>
      <c r="I93" s="8"/>
      <c r="J93" s="31">
        <f t="shared" si="30"/>
        <v>0</v>
      </c>
      <c r="K93" s="32">
        <f t="shared" si="31"/>
        <v>0</v>
      </c>
      <c r="L93" s="8"/>
      <c r="M93" s="8"/>
      <c r="N93" s="78">
        <f t="shared" si="32"/>
        <v>0</v>
      </c>
      <c r="O93" s="237"/>
      <c r="P93" s="237"/>
    </row>
    <row r="94" spans="1:26" ht="12.95" customHeight="1">
      <c r="A94" s="679" t="str">
        <f>IF(UMYr4!A94&lt;&gt;"",UMYr4!A94,"")</f>
        <v/>
      </c>
      <c r="B94" s="85" t="str">
        <f>UMYr1!B94</f>
        <v/>
      </c>
      <c r="C94" s="680" t="str">
        <f>IF(UMYr1!C94="","",UMYr1!C94)</f>
        <v/>
      </c>
      <c r="D94" s="106">
        <f>Sponsor!H97</f>
        <v>0</v>
      </c>
      <c r="E94" s="8"/>
      <c r="F94" s="8"/>
      <c r="G94" s="8"/>
      <c r="H94" s="8"/>
      <c r="I94" s="8"/>
      <c r="J94" s="31">
        <f t="shared" si="30"/>
        <v>0</v>
      </c>
      <c r="K94" s="32">
        <f t="shared" si="31"/>
        <v>0</v>
      </c>
      <c r="L94" s="8"/>
      <c r="M94" s="8"/>
      <c r="N94" s="78">
        <f t="shared" si="32"/>
        <v>0</v>
      </c>
      <c r="O94" s="237"/>
      <c r="P94" s="237"/>
    </row>
    <row r="95" spans="1:26" ht="12.95" customHeight="1">
      <c r="A95" s="679" t="str">
        <f>IF(UMYr4!A95&lt;&gt;"",UMYr4!A95,"")</f>
        <v/>
      </c>
      <c r="B95" s="85" t="str">
        <f>UMYr1!B95</f>
        <v/>
      </c>
      <c r="C95" s="680" t="str">
        <f>IF(UMYr1!C95="","",UMYr1!C95)</f>
        <v/>
      </c>
      <c r="D95" s="106">
        <f>Sponsor!H98</f>
        <v>0</v>
      </c>
      <c r="E95" s="8"/>
      <c r="F95" s="8"/>
      <c r="G95" s="8"/>
      <c r="H95" s="8"/>
      <c r="I95" s="8"/>
      <c r="J95" s="31">
        <f t="shared" si="30"/>
        <v>0</v>
      </c>
      <c r="K95" s="32">
        <f t="shared" si="31"/>
        <v>0</v>
      </c>
      <c r="L95" s="8"/>
      <c r="M95" s="8"/>
      <c r="N95" s="78">
        <f t="shared" si="32"/>
        <v>0</v>
      </c>
      <c r="O95" s="237"/>
      <c r="P95" s="237"/>
    </row>
    <row r="96" spans="1:26" ht="12.95" customHeight="1">
      <c r="A96" s="679" t="str">
        <f>IF(UMYr4!A96&lt;&gt;"",UMYr4!A96,"")</f>
        <v/>
      </c>
      <c r="B96" s="85" t="str">
        <f>UMYr1!B96</f>
        <v/>
      </c>
      <c r="C96" s="680" t="str">
        <f>IF(UMYr1!C96="","",UMYr1!C96)</f>
        <v/>
      </c>
      <c r="D96" s="106">
        <f>Sponsor!H99</f>
        <v>0</v>
      </c>
      <c r="E96" s="8"/>
      <c r="F96" s="8"/>
      <c r="G96" s="8"/>
      <c r="H96" s="8"/>
      <c r="I96" s="8"/>
      <c r="J96" s="31">
        <f t="shared" si="30"/>
        <v>0</v>
      </c>
      <c r="K96" s="32">
        <f t="shared" si="31"/>
        <v>0</v>
      </c>
      <c r="L96" s="8"/>
      <c r="M96" s="8"/>
      <c r="N96" s="78">
        <f t="shared" si="32"/>
        <v>0</v>
      </c>
      <c r="O96" s="237"/>
      <c r="P96" s="237"/>
    </row>
    <row r="97" spans="1:18" ht="12.95" customHeight="1">
      <c r="A97" s="679" t="str">
        <f>IF(UMYr4!A97&lt;&gt;"",UMYr4!A97,"")</f>
        <v/>
      </c>
      <c r="B97" s="85" t="str">
        <f>UMYr1!B97</f>
        <v/>
      </c>
      <c r="C97" s="680" t="str">
        <f>IF(UMYr1!C97="","",UMYr1!C97)</f>
        <v/>
      </c>
      <c r="D97" s="106">
        <f>Sponsor!H100</f>
        <v>0</v>
      </c>
      <c r="E97" s="8"/>
      <c r="F97" s="8"/>
      <c r="G97" s="8"/>
      <c r="H97" s="8"/>
      <c r="I97" s="8"/>
      <c r="J97" s="31">
        <f t="shared" si="30"/>
        <v>0</v>
      </c>
      <c r="K97" s="32">
        <f t="shared" si="31"/>
        <v>0</v>
      </c>
      <c r="L97" s="8"/>
      <c r="M97" s="8"/>
      <c r="N97" s="78">
        <f t="shared" si="32"/>
        <v>0</v>
      </c>
      <c r="O97" s="237"/>
      <c r="P97" s="237"/>
    </row>
    <row r="98" spans="1:18" ht="12.95" customHeight="1">
      <c r="A98" s="679" t="str">
        <f>IF(UMYr4!A98&lt;&gt;"",UMYr4!A98,"")</f>
        <v/>
      </c>
      <c r="B98" s="85" t="str">
        <f>UMYr1!B98</f>
        <v/>
      </c>
      <c r="C98" s="680" t="str">
        <f>IF(UMYr1!C98="","",UMYr1!C98)</f>
        <v/>
      </c>
      <c r="D98" s="106">
        <f>Sponsor!H101</f>
        <v>0</v>
      </c>
      <c r="E98" s="8"/>
      <c r="F98" s="8"/>
      <c r="G98" s="8"/>
      <c r="H98" s="8"/>
      <c r="I98" s="8"/>
      <c r="J98" s="31">
        <f t="shared" si="30"/>
        <v>0</v>
      </c>
      <c r="K98" s="32">
        <f t="shared" si="31"/>
        <v>0</v>
      </c>
      <c r="L98" s="8"/>
      <c r="M98" s="8"/>
      <c r="N98" s="78">
        <f t="shared" si="32"/>
        <v>0</v>
      </c>
      <c r="O98" s="237"/>
      <c r="P98" s="237"/>
    </row>
    <row r="99" spans="1:18" ht="12.95" customHeight="1">
      <c r="A99" s="679" t="str">
        <f>IF(UMYr4!A99&lt;&gt;"",UMYr4!A99,"")</f>
        <v/>
      </c>
      <c r="B99" s="85" t="str">
        <f>UMYr1!B99</f>
        <v/>
      </c>
      <c r="C99" s="680" t="str">
        <f>IF(UMYr1!C99="","",UMYr1!C99)</f>
        <v/>
      </c>
      <c r="D99" s="106">
        <f>Sponsor!H102</f>
        <v>0</v>
      </c>
      <c r="E99" s="8"/>
      <c r="F99" s="8"/>
      <c r="G99" s="8"/>
      <c r="H99" s="8"/>
      <c r="I99" s="8"/>
      <c r="J99" s="31">
        <f t="shared" si="30"/>
        <v>0</v>
      </c>
      <c r="K99" s="32">
        <f t="shared" si="31"/>
        <v>0</v>
      </c>
      <c r="L99" s="8"/>
      <c r="M99" s="8"/>
      <c r="N99" s="78">
        <f t="shared" si="32"/>
        <v>0</v>
      </c>
      <c r="O99" s="237"/>
      <c r="P99" s="237"/>
    </row>
    <row r="100" spans="1:18" ht="12.95" customHeight="1">
      <c r="A100" s="679" t="str">
        <f>IF(UMYr4!A100&lt;&gt;"",UMYr4!A100,"")</f>
        <v/>
      </c>
      <c r="B100" s="85" t="str">
        <f>UMYr1!B100</f>
        <v/>
      </c>
      <c r="C100" s="680" t="str">
        <f>IF(UMYr1!C100="","",UMYr1!C100)</f>
        <v/>
      </c>
      <c r="D100" s="106">
        <f>Sponsor!H103</f>
        <v>0</v>
      </c>
      <c r="E100" s="8"/>
      <c r="F100" s="8"/>
      <c r="G100" s="8"/>
      <c r="H100" s="8"/>
      <c r="I100" s="8"/>
      <c r="J100" s="31">
        <f t="shared" si="30"/>
        <v>0</v>
      </c>
      <c r="K100" s="32">
        <f t="shared" si="31"/>
        <v>0</v>
      </c>
      <c r="L100" s="8"/>
      <c r="M100" s="8"/>
      <c r="N100" s="78">
        <f t="shared" si="32"/>
        <v>0</v>
      </c>
      <c r="O100" s="237"/>
      <c r="P100" s="237"/>
    </row>
    <row r="101" spans="1:18" ht="12.95" customHeight="1">
      <c r="A101" s="679" t="str">
        <f>IF(UMYr4!A101&lt;&gt;"",UMYr4!A101,"")</f>
        <v/>
      </c>
      <c r="B101" s="85" t="str">
        <f>UMYr1!B101</f>
        <v/>
      </c>
      <c r="C101" s="680" t="str">
        <f>IF(UMYr1!C101="","",UMYr1!C101)</f>
        <v/>
      </c>
      <c r="D101" s="106">
        <f>Sponsor!H104</f>
        <v>0</v>
      </c>
      <c r="E101" s="8"/>
      <c r="F101" s="8"/>
      <c r="G101" s="8"/>
      <c r="H101" s="8"/>
      <c r="I101" s="8"/>
      <c r="J101" s="31">
        <f t="shared" si="30"/>
        <v>0</v>
      </c>
      <c r="K101" s="32">
        <f t="shared" si="31"/>
        <v>0</v>
      </c>
      <c r="L101" s="8"/>
      <c r="M101" s="8"/>
      <c r="N101" s="94">
        <f t="shared" si="32"/>
        <v>0</v>
      </c>
      <c r="O101" s="237"/>
      <c r="P101" s="237"/>
    </row>
    <row r="102" spans="1:18" ht="12.95" customHeight="1" thickBot="1">
      <c r="A102" s="665" t="str">
        <f>IF(UMYr4!A102&lt;&gt;"",UMYr4!A102,"")</f>
        <v/>
      </c>
      <c r="B102" s="768" t="s">
        <v>672</v>
      </c>
      <c r="C102" s="768"/>
      <c r="D102" s="71">
        <f>Sponsor!H105</f>
        <v>0</v>
      </c>
      <c r="E102" s="295">
        <f t="shared" ref="E102:N102" si="33">SUM(E86:E101)</f>
        <v>0</v>
      </c>
      <c r="F102" s="295">
        <f t="shared" si="33"/>
        <v>0</v>
      </c>
      <c r="G102" s="295">
        <f t="shared" si="33"/>
        <v>0</v>
      </c>
      <c r="H102" s="295">
        <f t="shared" si="33"/>
        <v>0</v>
      </c>
      <c r="I102" s="295">
        <f t="shared" si="33"/>
        <v>0</v>
      </c>
      <c r="J102" s="293">
        <f t="shared" si="33"/>
        <v>0</v>
      </c>
      <c r="K102" s="293">
        <f t="shared" si="33"/>
        <v>0</v>
      </c>
      <c r="L102" s="295">
        <f t="shared" si="33"/>
        <v>0</v>
      </c>
      <c r="M102" s="295">
        <f t="shared" si="33"/>
        <v>0</v>
      </c>
      <c r="N102" s="79">
        <f t="shared" si="33"/>
        <v>0</v>
      </c>
      <c r="O102" s="238"/>
      <c r="P102" s="238"/>
    </row>
    <row r="103" spans="1:18" ht="12.95" customHeight="1">
      <c r="A103" s="5" t="str">
        <f>IF(UMYr4!A103&lt;&gt;"",UMYr4!A103,"")</f>
        <v/>
      </c>
      <c r="B103" s="74" t="str">
        <f>IF(UMYr1!B103="","",UMYr1!B103)</f>
        <v>ADDITIONAL CAPITAL EQUIPMENT OR CONSTRUCTION - descriptions and account codes must be entered in Sponsor tab</v>
      </c>
      <c r="C103" s="230"/>
      <c r="D103" s="230"/>
      <c r="E103" s="230"/>
      <c r="F103" s="230"/>
      <c r="G103" s="230"/>
      <c r="H103" s="230"/>
      <c r="I103" s="230"/>
      <c r="J103" s="230"/>
      <c r="K103" s="230"/>
      <c r="L103" s="230"/>
      <c r="M103" s="230"/>
      <c r="N103" s="231"/>
      <c r="O103" s="320"/>
      <c r="P103" s="321"/>
      <c r="Q103" s="321"/>
      <c r="R103" s="321"/>
    </row>
    <row r="104" spans="1:18" ht="12.95" customHeight="1">
      <c r="A104" s="679" t="str">
        <f>IF(UMYr4!A104&lt;&gt;"",UMYr4!A104,"")</f>
        <v/>
      </c>
      <c r="B104" s="85" t="str">
        <f>UMYr1!B104</f>
        <v/>
      </c>
      <c r="C104" s="680" t="str">
        <f>IF(UMYr4!C104&lt;&gt;"",UMYr4!C104,"")</f>
        <v/>
      </c>
      <c r="D104" s="108">
        <f>Sponsor!H107</f>
        <v>0</v>
      </c>
      <c r="E104" s="9"/>
      <c r="F104" s="9"/>
      <c r="G104" s="9"/>
      <c r="H104" s="9"/>
      <c r="I104" s="9"/>
      <c r="J104" s="23">
        <f t="shared" ref="J104:J109" si="34">SUM(E104:I104)</f>
        <v>0</v>
      </c>
      <c r="K104" s="32">
        <f t="shared" ref="K104:K109" si="35">D104+J104</f>
        <v>0</v>
      </c>
      <c r="L104" s="12"/>
      <c r="M104" s="13"/>
      <c r="N104" s="175">
        <f t="shared" ref="N104:N109" si="36">SUM(K104:M104)</f>
        <v>0</v>
      </c>
      <c r="O104" s="722" t="s">
        <v>507</v>
      </c>
      <c r="P104" s="723"/>
      <c r="Q104" s="723"/>
      <c r="R104" s="723"/>
    </row>
    <row r="105" spans="1:18" ht="12.95" customHeight="1">
      <c r="A105" s="679" t="str">
        <f>IF(UMYr4!A105&lt;&gt;"",UMYr4!A105,"")</f>
        <v/>
      </c>
      <c r="B105" s="85" t="str">
        <f>UMYr1!B105</f>
        <v/>
      </c>
      <c r="C105" s="680" t="str">
        <f>IF(UMYr4!C105&lt;&gt;"",UMYr4!C105,"")</f>
        <v/>
      </c>
      <c r="D105" s="108">
        <f>Sponsor!H108</f>
        <v>0</v>
      </c>
      <c r="E105" s="9"/>
      <c r="F105" s="9"/>
      <c r="G105" s="9"/>
      <c r="H105" s="9"/>
      <c r="I105" s="9"/>
      <c r="J105" s="23">
        <f t="shared" si="34"/>
        <v>0</v>
      </c>
      <c r="K105" s="32">
        <f t="shared" si="35"/>
        <v>0</v>
      </c>
      <c r="L105" s="10"/>
      <c r="M105" s="9"/>
      <c r="N105" s="173">
        <f t="shared" si="36"/>
        <v>0</v>
      </c>
      <c r="O105" s="211" t="s">
        <v>508</v>
      </c>
      <c r="P105" s="721" t="s">
        <v>509</v>
      </c>
      <c r="Q105" s="721"/>
      <c r="R105" s="721"/>
    </row>
    <row r="106" spans="1:18" ht="12.95" customHeight="1">
      <c r="A106" s="679" t="str">
        <f>IF(UMYr4!A106&lt;&gt;"",UMYr4!A106,"")</f>
        <v/>
      </c>
      <c r="B106" s="85" t="str">
        <f>UMYr1!B106</f>
        <v/>
      </c>
      <c r="C106" s="680" t="str">
        <f>IF(UMYr4!C106&lt;&gt;"",UMYr4!C106,"")</f>
        <v/>
      </c>
      <c r="D106" s="108">
        <f>Sponsor!H109</f>
        <v>0</v>
      </c>
      <c r="E106" s="9"/>
      <c r="F106" s="9"/>
      <c r="G106" s="9"/>
      <c r="H106" s="9"/>
      <c r="I106" s="9"/>
      <c r="J106" s="23">
        <f t="shared" si="34"/>
        <v>0</v>
      </c>
      <c r="K106" s="32">
        <f t="shared" si="35"/>
        <v>0</v>
      </c>
      <c r="L106" s="10"/>
      <c r="M106" s="9"/>
      <c r="N106" s="173">
        <f t="shared" si="36"/>
        <v>0</v>
      </c>
      <c r="O106" s="212">
        <v>62300</v>
      </c>
      <c r="P106" s="721" t="s">
        <v>510</v>
      </c>
      <c r="Q106" s="721"/>
      <c r="R106" s="721"/>
    </row>
    <row r="107" spans="1:18" ht="12.95" customHeight="1">
      <c r="A107" s="679" t="str">
        <f>IF(UMYr4!A107&lt;&gt;"",UMYr4!A107,"")</f>
        <v/>
      </c>
      <c r="B107" s="85" t="str">
        <f>UMYr1!B107</f>
        <v/>
      </c>
      <c r="C107" s="680" t="str">
        <f>IF(UMYr4!C107&lt;&gt;"",UMYr4!C107,"")</f>
        <v/>
      </c>
      <c r="D107" s="108">
        <f>Sponsor!H110</f>
        <v>0</v>
      </c>
      <c r="E107" s="9"/>
      <c r="F107" s="9"/>
      <c r="G107" s="9"/>
      <c r="H107" s="9"/>
      <c r="I107" s="9"/>
      <c r="J107" s="23">
        <f t="shared" si="34"/>
        <v>0</v>
      </c>
      <c r="K107" s="32">
        <f t="shared" si="35"/>
        <v>0</v>
      </c>
      <c r="L107" s="10"/>
      <c r="M107" s="9"/>
      <c r="N107" s="173">
        <f t="shared" si="36"/>
        <v>0</v>
      </c>
      <c r="O107" s="211" t="s">
        <v>512</v>
      </c>
      <c r="P107" s="736" t="s">
        <v>513</v>
      </c>
      <c r="Q107" s="737"/>
      <c r="R107" s="737"/>
    </row>
    <row r="108" spans="1:18" ht="12.95" customHeight="1">
      <c r="A108" s="679" t="str">
        <f>IF(UMYr4!A108&lt;&gt;"",UMYr4!A108,"")</f>
        <v/>
      </c>
      <c r="B108" s="85" t="str">
        <f>UMYr1!B108</f>
        <v/>
      </c>
      <c r="C108" s="680" t="str">
        <f>IF(UMYr4!C108&lt;&gt;"",UMYr4!C108,"")</f>
        <v/>
      </c>
      <c r="D108" s="108">
        <f>Sponsor!H111</f>
        <v>0</v>
      </c>
      <c r="E108" s="9"/>
      <c r="F108" s="9"/>
      <c r="G108" s="9"/>
      <c r="H108" s="9"/>
      <c r="I108" s="9"/>
      <c r="J108" s="23">
        <f t="shared" si="34"/>
        <v>0</v>
      </c>
      <c r="K108" s="32">
        <f t="shared" si="35"/>
        <v>0</v>
      </c>
      <c r="L108" s="10"/>
      <c r="M108" s="9"/>
      <c r="N108" s="173">
        <f t="shared" si="36"/>
        <v>0</v>
      </c>
      <c r="O108" s="211" t="s">
        <v>515</v>
      </c>
      <c r="P108" s="736" t="s">
        <v>516</v>
      </c>
      <c r="Q108" s="737"/>
      <c r="R108" s="737"/>
    </row>
    <row r="109" spans="1:18" ht="12.95" customHeight="1" thickBot="1">
      <c r="A109" s="5" t="str">
        <f>IF(UMYr4!A109&lt;&gt;"",UMYr4!A109,"")</f>
        <v/>
      </c>
      <c r="B109" s="982" t="s">
        <v>580</v>
      </c>
      <c r="C109" s="768"/>
      <c r="D109" s="71">
        <f>Sponsor!H112</f>
        <v>0</v>
      </c>
      <c r="E109" s="295">
        <f>SUM(E104:E108)</f>
        <v>0</v>
      </c>
      <c r="F109" s="295">
        <f>SUM(F104:F108)</f>
        <v>0</v>
      </c>
      <c r="G109" s="295">
        <f>SUM(G104:G108)</f>
        <v>0</v>
      </c>
      <c r="H109" s="295">
        <f>SUM(H104:H108)</f>
        <v>0</v>
      </c>
      <c r="I109" s="295">
        <f>SUM(I104:I108)</f>
        <v>0</v>
      </c>
      <c r="J109" s="183">
        <f t="shared" si="34"/>
        <v>0</v>
      </c>
      <c r="K109" s="182">
        <f t="shared" si="35"/>
        <v>0</v>
      </c>
      <c r="L109" s="295">
        <f>SUM(L104:L108)</f>
        <v>0</v>
      </c>
      <c r="M109" s="295">
        <f>SUM(M104:M108)</f>
        <v>0</v>
      </c>
      <c r="N109" s="79">
        <f t="shared" si="36"/>
        <v>0</v>
      </c>
    </row>
    <row r="110" spans="1:18">
      <c r="A110" s="5" t="str">
        <f>IF(UMYr4!A110&lt;&gt;"",UMYr4!A110,"")</f>
        <v/>
      </c>
      <c r="B110" s="980" t="str">
        <f>IF(UMYr1!B110="","",UMYr1!B110)</f>
        <v>OTHER DIRECT COSTS - descriptions and account codes must be entered in Sponsor tab</v>
      </c>
      <c r="C110" s="948" t="str">
        <f>IF(UMYr1!C110="","",UMYr1!C110)</f>
        <v/>
      </c>
      <c r="D110" s="948" t="str">
        <f>IF(UMYr1!D110="","",UMYr1!D110)</f>
        <v/>
      </c>
      <c r="E110" s="948" t="str">
        <f>IF(UMYr1!E110="","",UMYr1!E110)</f>
        <v/>
      </c>
      <c r="F110" s="948" t="str">
        <f>IF(UMYr1!F110="","",UMYr1!F110)</f>
        <v/>
      </c>
      <c r="G110" s="948" t="str">
        <f>IF(UMYr1!G110="","",UMYr1!G110)</f>
        <v/>
      </c>
      <c r="H110" s="948" t="str">
        <f>IF(UMYr1!H110="","",UMYr1!H110)</f>
        <v/>
      </c>
      <c r="I110" s="948" t="str">
        <f>IF(UMYr1!I110="","",UMYr1!I110)</f>
        <v/>
      </c>
      <c r="J110" s="1064" t="str">
        <f>IF(UMYr1!J110="","",UMYr1!J110)</f>
        <v/>
      </c>
      <c r="K110" s="1064" t="str">
        <f>IF(UMYr1!K110="","",UMYr1!K110)</f>
        <v/>
      </c>
      <c r="L110" s="1064" t="str">
        <f>IF(UMYr1!L110="","",UMYr1!L110)</f>
        <v/>
      </c>
      <c r="M110" s="1064" t="str">
        <f>IF(UMYr1!M110="","",UMYr1!M110)</f>
        <v/>
      </c>
      <c r="N110" s="1065" t="str">
        <f>IF(UMYr1!N110="","",UMYr1!N110)</f>
        <v/>
      </c>
    </row>
    <row r="111" spans="1:18" ht="12.95" customHeight="1">
      <c r="A111" s="679">
        <f>IF(UMYr4!A111&lt;&gt;"",UMYr4!A111,"")</f>
        <v>60900</v>
      </c>
      <c r="B111" s="147" t="str">
        <f>UMYr1!B111</f>
        <v/>
      </c>
      <c r="C111" s="139" t="str">
        <f>IF(UMYr4!C111&lt;&gt;"",UMYr4!C111,"")</f>
        <v>Publications</v>
      </c>
      <c r="D111" s="108">
        <f>Sponsor!H115</f>
        <v>0</v>
      </c>
      <c r="E111" s="9"/>
      <c r="F111" s="9"/>
      <c r="G111" s="9"/>
      <c r="H111" s="9"/>
      <c r="I111" s="9"/>
      <c r="J111" s="23">
        <f>SUM(E111:I111)</f>
        <v>0</v>
      </c>
      <c r="K111" s="32">
        <f>D111+J111</f>
        <v>0</v>
      </c>
      <c r="L111" s="9"/>
      <c r="M111" s="9"/>
      <c r="N111" s="173">
        <f>SUM(K111:M111)</f>
        <v>0</v>
      </c>
      <c r="O111" s="237"/>
      <c r="P111" s="237"/>
    </row>
    <row r="112" spans="1:18" ht="12.95" customHeight="1">
      <c r="A112" s="679" t="str">
        <f>IF(UMYr4!A112&lt;&gt;"",UMYr4!A112,"")</f>
        <v/>
      </c>
      <c r="B112" s="85" t="str">
        <f>UMYr1!B112</f>
        <v/>
      </c>
      <c r="C112" s="680" t="str">
        <f>IF(UMYr4!C112&lt;&gt;"",UMYr4!C112,"")</f>
        <v/>
      </c>
      <c r="D112" s="108">
        <f>Sponsor!H116</f>
        <v>0</v>
      </c>
      <c r="E112" s="9"/>
      <c r="F112" s="9"/>
      <c r="G112" s="9"/>
      <c r="H112" s="9"/>
      <c r="I112" s="9"/>
      <c r="J112" s="23">
        <f>SUM(E112:I112)</f>
        <v>0</v>
      </c>
      <c r="K112" s="32">
        <f>D112+J112</f>
        <v>0</v>
      </c>
      <c r="L112" s="9"/>
      <c r="M112" s="9"/>
      <c r="N112" s="173">
        <f>SUM(K112:M112)</f>
        <v>0</v>
      </c>
      <c r="O112" s="237"/>
      <c r="P112" s="237"/>
    </row>
    <row r="113" spans="1:16" ht="12.95" customHeight="1">
      <c r="A113" s="679" t="str">
        <f>IF(UMYr4!A113&lt;&gt;"",UMYr4!A113,"")</f>
        <v/>
      </c>
      <c r="B113" s="85" t="str">
        <f>UMYr1!B113</f>
        <v/>
      </c>
      <c r="C113" s="680" t="str">
        <f>IF(UMYr4!C113&lt;&gt;"",UMYr4!C113,"")</f>
        <v/>
      </c>
      <c r="D113" s="108">
        <f>Sponsor!H117</f>
        <v>0</v>
      </c>
      <c r="E113" s="9"/>
      <c r="F113" s="9"/>
      <c r="G113" s="9"/>
      <c r="H113" s="9"/>
      <c r="I113" s="9"/>
      <c r="J113" s="23">
        <f>SUM(E113:I113)</f>
        <v>0</v>
      </c>
      <c r="K113" s="32">
        <f>D113+J113</f>
        <v>0</v>
      </c>
      <c r="L113" s="9"/>
      <c r="M113" s="9"/>
      <c r="N113" s="173">
        <f>SUM(K113:M113)</f>
        <v>0</v>
      </c>
      <c r="O113" s="237"/>
      <c r="P113" s="237"/>
    </row>
    <row r="114" spans="1:16">
      <c r="A114" s="679" t="str">
        <f>IF(UMYr4!A114&lt;&gt;"",UMYr4!A114,"")</f>
        <v/>
      </c>
      <c r="B114" s="85" t="str">
        <f>IF(UMYr4!B114="","",UMYr4!B114)</f>
        <v/>
      </c>
      <c r="C114" s="680" t="str">
        <f>IF(UMYr4!C114&lt;&gt;"",UMYr4!C114,"")</f>
        <v/>
      </c>
      <c r="D114" s="112">
        <f>Sponsor!H118</f>
        <v>0</v>
      </c>
      <c r="E114" s="140"/>
      <c r="F114" s="88"/>
      <c r="G114" s="88"/>
      <c r="H114" s="88"/>
      <c r="I114" s="88"/>
      <c r="J114" s="11">
        <f t="shared" ref="J114:J119" si="37">SUM(E114:I114)</f>
        <v>0</v>
      </c>
      <c r="K114" s="32">
        <f t="shared" ref="K114:K119" si="38">D114+J114</f>
        <v>0</v>
      </c>
      <c r="L114" s="88"/>
      <c r="M114" s="88"/>
      <c r="N114" s="78">
        <f t="shared" ref="N114:N119" si="39">K114+SUM(L114:M114)</f>
        <v>0</v>
      </c>
    </row>
    <row r="115" spans="1:16">
      <c r="A115" s="679" t="str">
        <f>IF(UMYr4!A115&lt;&gt;"",UMYr4!A115,"")</f>
        <v/>
      </c>
      <c r="B115" s="85" t="str">
        <f>IF(UMYr4!B115="","",UMYr4!B115)</f>
        <v/>
      </c>
      <c r="C115" s="680" t="str">
        <f>IF(UMYr4!C115&lt;&gt;"",UMYr4!C115,"")</f>
        <v/>
      </c>
      <c r="D115" s="112">
        <f>Sponsor!H119</f>
        <v>0</v>
      </c>
      <c r="E115" s="140"/>
      <c r="F115" s="88"/>
      <c r="G115" s="88"/>
      <c r="H115" s="88"/>
      <c r="I115" s="88"/>
      <c r="J115" s="11">
        <f t="shared" si="37"/>
        <v>0</v>
      </c>
      <c r="K115" s="32">
        <f t="shared" si="38"/>
        <v>0</v>
      </c>
      <c r="L115" s="88"/>
      <c r="M115" s="88"/>
      <c r="N115" s="78">
        <f t="shared" si="39"/>
        <v>0</v>
      </c>
    </row>
    <row r="116" spans="1:16">
      <c r="A116" s="679" t="str">
        <f>IF(UMYr4!A116&lt;&gt;"",UMYr4!A116,"")</f>
        <v/>
      </c>
      <c r="B116" s="85" t="str">
        <f>IF(UMYr4!B116="","",UMYr4!B116)</f>
        <v/>
      </c>
      <c r="C116" s="680" t="str">
        <f>IF(UMYr4!C116&lt;&gt;"",UMYr4!C116,"")</f>
        <v/>
      </c>
      <c r="D116" s="112">
        <f>Sponsor!H120</f>
        <v>0</v>
      </c>
      <c r="E116" s="140"/>
      <c r="F116" s="88"/>
      <c r="G116" s="88"/>
      <c r="H116" s="88"/>
      <c r="I116" s="88"/>
      <c r="J116" s="11">
        <f t="shared" si="37"/>
        <v>0</v>
      </c>
      <c r="K116" s="32">
        <f t="shared" si="38"/>
        <v>0</v>
      </c>
      <c r="L116" s="88"/>
      <c r="M116" s="88"/>
      <c r="N116" s="78">
        <f t="shared" si="39"/>
        <v>0</v>
      </c>
    </row>
    <row r="117" spans="1:16">
      <c r="A117" s="679" t="str">
        <f>IF(UMYr4!A117&lt;&gt;"",UMYr4!A117,"")</f>
        <v/>
      </c>
      <c r="B117" s="85" t="str">
        <f>IF(UMYr4!B117="","",UMYr4!B117)</f>
        <v/>
      </c>
      <c r="C117" s="680" t="str">
        <f>IF(UMYr4!C117&lt;&gt;"",UMYr4!C117,"")</f>
        <v/>
      </c>
      <c r="D117" s="112">
        <f>Sponsor!H121</f>
        <v>0</v>
      </c>
      <c r="E117" s="140"/>
      <c r="F117" s="88"/>
      <c r="G117" s="88"/>
      <c r="H117" s="88"/>
      <c r="I117" s="88"/>
      <c r="J117" s="11">
        <f t="shared" si="37"/>
        <v>0</v>
      </c>
      <c r="K117" s="32">
        <f t="shared" si="38"/>
        <v>0</v>
      </c>
      <c r="L117" s="88"/>
      <c r="M117" s="88"/>
      <c r="N117" s="78">
        <f t="shared" si="39"/>
        <v>0</v>
      </c>
    </row>
    <row r="118" spans="1:16">
      <c r="A118" s="679" t="str">
        <f>IF(UMYr4!A118&lt;&gt;"",UMYr4!A118,"")</f>
        <v/>
      </c>
      <c r="B118" s="85" t="str">
        <f>IF(UMYr4!B118="","",UMYr4!B118)</f>
        <v/>
      </c>
      <c r="C118" s="680" t="str">
        <f>IF(UMYr4!C118&lt;&gt;"",UMYr4!C118,"")</f>
        <v/>
      </c>
      <c r="D118" s="112">
        <f>Sponsor!H122</f>
        <v>0</v>
      </c>
      <c r="E118" s="140"/>
      <c r="F118" s="88"/>
      <c r="G118" s="88"/>
      <c r="H118" s="88"/>
      <c r="I118" s="88"/>
      <c r="J118" s="11">
        <f t="shared" si="37"/>
        <v>0</v>
      </c>
      <c r="K118" s="32">
        <f t="shared" si="38"/>
        <v>0</v>
      </c>
      <c r="L118" s="88"/>
      <c r="M118" s="88"/>
      <c r="N118" s="78">
        <f t="shared" si="39"/>
        <v>0</v>
      </c>
    </row>
    <row r="119" spans="1:16">
      <c r="A119" s="679" t="str">
        <f>IF(UMYr4!A119&lt;&gt;"",UMYr4!A119,"")</f>
        <v/>
      </c>
      <c r="B119" s="85" t="str">
        <f>IF(UMYr4!B119="","",UMYr4!B119)</f>
        <v/>
      </c>
      <c r="C119" s="680" t="str">
        <f>IF(UMYr4!C119&lt;&gt;"",UMYr4!C119,"")</f>
        <v/>
      </c>
      <c r="D119" s="112">
        <f>Sponsor!H123</f>
        <v>0</v>
      </c>
      <c r="E119" s="141"/>
      <c r="F119" s="88"/>
      <c r="G119" s="88"/>
      <c r="H119" s="88"/>
      <c r="I119" s="88"/>
      <c r="J119" s="299">
        <f t="shared" si="37"/>
        <v>0</v>
      </c>
      <c r="K119" s="298">
        <f t="shared" si="38"/>
        <v>0</v>
      </c>
      <c r="L119" s="88"/>
      <c r="M119" s="88"/>
      <c r="N119" s="94">
        <f t="shared" si="39"/>
        <v>0</v>
      </c>
    </row>
    <row r="120" spans="1:16" ht="13.5" thickBot="1">
      <c r="A120" s="226" t="str">
        <f>IF(UMYr4!A120&lt;&gt;"",UMYr4!A120,"")</f>
        <v/>
      </c>
      <c r="B120" s="994" t="s">
        <v>584</v>
      </c>
      <c r="C120" s="1046"/>
      <c r="D120" s="72">
        <f>Sponsor!H124</f>
        <v>0</v>
      </c>
      <c r="E120" s="99">
        <f>SUM(E111:E119)</f>
        <v>0</v>
      </c>
      <c r="F120" s="128">
        <f t="shared" ref="F120:N120" si="40">SUM(F111:F119)</f>
        <v>0</v>
      </c>
      <c r="G120" s="128">
        <f t="shared" si="40"/>
        <v>0</v>
      </c>
      <c r="H120" s="128">
        <f t="shared" si="40"/>
        <v>0</v>
      </c>
      <c r="I120" s="128">
        <f t="shared" si="40"/>
        <v>0</v>
      </c>
      <c r="J120" s="300">
        <f t="shared" si="40"/>
        <v>0</v>
      </c>
      <c r="K120" s="72">
        <f t="shared" si="40"/>
        <v>0</v>
      </c>
      <c r="L120" s="99">
        <f t="shared" si="40"/>
        <v>0</v>
      </c>
      <c r="M120" s="300">
        <f t="shared" si="40"/>
        <v>0</v>
      </c>
      <c r="N120" s="76">
        <f t="shared" si="40"/>
        <v>0</v>
      </c>
    </row>
    <row r="121" spans="1:16">
      <c r="A121" s="156"/>
      <c r="B121" s="84" t="s">
        <v>585</v>
      </c>
      <c r="C121" s="227"/>
      <c r="D121" s="227"/>
      <c r="E121" s="227"/>
      <c r="F121" s="227"/>
      <c r="G121" s="227"/>
      <c r="H121" s="227"/>
      <c r="I121" s="227"/>
      <c r="J121" s="227"/>
      <c r="K121" s="227"/>
      <c r="L121" s="227"/>
      <c r="M121" s="227"/>
      <c r="N121" s="228"/>
    </row>
    <row r="122" spans="1:16">
      <c r="A122" s="156"/>
      <c r="B122" s="301"/>
      <c r="C122" s="302" t="s">
        <v>589</v>
      </c>
      <c r="D122" s="240"/>
      <c r="E122" s="28"/>
      <c r="F122" s="28"/>
      <c r="G122" s="28"/>
      <c r="H122" s="28"/>
      <c r="I122" s="28"/>
      <c r="J122" s="28"/>
      <c r="K122" s="189"/>
      <c r="L122" s="28"/>
      <c r="M122" s="28"/>
      <c r="N122" s="241"/>
    </row>
    <row r="123" spans="1:16">
      <c r="A123" s="156"/>
      <c r="B123" s="115" t="str">
        <f>Sponsor!B127</f>
        <v>01</v>
      </c>
      <c r="C123" s="677" t="str">
        <f>IF(UMYr4!C123&lt;&gt;"",UMYr4!C123,"")</f>
        <v/>
      </c>
      <c r="D123" s="638">
        <f>Sponsor!H127</f>
        <v>0</v>
      </c>
      <c r="E123" s="692"/>
      <c r="F123" s="686"/>
      <c r="G123" s="686"/>
      <c r="H123" s="686"/>
      <c r="I123" s="686"/>
      <c r="J123" s="638">
        <f>SUM(E123:I123)</f>
        <v>0</v>
      </c>
      <c r="K123" s="638">
        <f>D123+J123</f>
        <v>0</v>
      </c>
      <c r="L123" s="693"/>
      <c r="M123" s="693"/>
      <c r="N123" s="167">
        <f>D123+J123+L123+M123</f>
        <v>0</v>
      </c>
    </row>
    <row r="124" spans="1:16">
      <c r="A124" s="679">
        <f>Sponsor!A128</f>
        <v>60250</v>
      </c>
      <c r="B124" s="116"/>
      <c r="C124" s="102" t="str">
        <f>Sponsor!C128</f>
        <v>Less than $25K</v>
      </c>
      <c r="D124" s="124">
        <f>Sponsor!H128</f>
        <v>0</v>
      </c>
      <c r="E124" s="892" t="s">
        <v>679</v>
      </c>
      <c r="F124" s="893"/>
      <c r="G124" s="893"/>
      <c r="H124" s="893"/>
      <c r="I124" s="894"/>
      <c r="J124" s="673">
        <f>UMYr1!AD122</f>
        <v>0</v>
      </c>
      <c r="K124" s="673">
        <f>D124+J124</f>
        <v>0</v>
      </c>
      <c r="L124" s="888" t="s">
        <v>679</v>
      </c>
      <c r="M124" s="889"/>
      <c r="N124" s="168">
        <f>K124</f>
        <v>0</v>
      </c>
      <c r="O124" s="303">
        <v>60250</v>
      </c>
    </row>
    <row r="125" spans="1:16">
      <c r="A125" s="679">
        <f>Sponsor!A129</f>
        <v>60270</v>
      </c>
      <c r="B125" s="117"/>
      <c r="C125" s="102" t="str">
        <f>Sponsor!C129</f>
        <v>Greater than $25K</v>
      </c>
      <c r="D125" s="125">
        <f>Sponsor!H129</f>
        <v>0</v>
      </c>
      <c r="E125" s="895"/>
      <c r="F125" s="896"/>
      <c r="G125" s="896"/>
      <c r="H125" s="896"/>
      <c r="I125" s="897"/>
      <c r="J125" s="673">
        <f>J123-J124</f>
        <v>0</v>
      </c>
      <c r="K125" s="673">
        <f t="shared" ref="K125:K182" si="41">D125+J125</f>
        <v>0</v>
      </c>
      <c r="L125" s="890"/>
      <c r="M125" s="891"/>
      <c r="N125" s="169">
        <f>K125</f>
        <v>0</v>
      </c>
      <c r="O125" s="303">
        <v>60270</v>
      </c>
    </row>
    <row r="126" spans="1:16">
      <c r="A126" s="156"/>
      <c r="B126" s="115" t="str">
        <f>Sponsor!B130</f>
        <v>02</v>
      </c>
      <c r="C126" s="677" t="str">
        <f>IF(UMYr4!C126&lt;&gt;"",UMYr4!C126,"")</f>
        <v/>
      </c>
      <c r="D126" s="638">
        <f>Sponsor!H130</f>
        <v>0</v>
      </c>
      <c r="E126" s="692"/>
      <c r="F126" s="686"/>
      <c r="G126" s="686"/>
      <c r="H126" s="686"/>
      <c r="I126" s="686"/>
      <c r="J126" s="638">
        <f>SUM(E126:I126)</f>
        <v>0</v>
      </c>
      <c r="K126" s="638">
        <f t="shared" si="41"/>
        <v>0</v>
      </c>
      <c r="L126" s="686"/>
      <c r="M126" s="686"/>
      <c r="N126" s="167">
        <f>D126+J126+L126+M126</f>
        <v>0</v>
      </c>
      <c r="O126" s="304"/>
    </row>
    <row r="127" spans="1:16">
      <c r="A127" s="679">
        <f>Sponsor!A131</f>
        <v>60250</v>
      </c>
      <c r="B127" s="116"/>
      <c r="C127" s="102" t="str">
        <f>Sponsor!C131</f>
        <v>Less than $25K</v>
      </c>
      <c r="D127" s="124">
        <f>Sponsor!H131</f>
        <v>0</v>
      </c>
      <c r="E127" s="892" t="s">
        <v>679</v>
      </c>
      <c r="F127" s="893"/>
      <c r="G127" s="893"/>
      <c r="H127" s="893"/>
      <c r="I127" s="894"/>
      <c r="J127" s="673">
        <f>UMYr1!AD123</f>
        <v>0</v>
      </c>
      <c r="K127" s="673">
        <f t="shared" si="41"/>
        <v>0</v>
      </c>
      <c r="L127" s="888" t="s">
        <v>679</v>
      </c>
      <c r="M127" s="889"/>
      <c r="N127" s="168">
        <f>K127</f>
        <v>0</v>
      </c>
      <c r="O127" s="303">
        <v>60250</v>
      </c>
    </row>
    <row r="128" spans="1:16">
      <c r="A128" s="679">
        <f>Sponsor!A132</f>
        <v>60270</v>
      </c>
      <c r="B128" s="117"/>
      <c r="C128" s="102" t="str">
        <f>Sponsor!C132</f>
        <v>Greater than $25K</v>
      </c>
      <c r="D128" s="125">
        <f>Sponsor!H132</f>
        <v>0</v>
      </c>
      <c r="E128" s="895"/>
      <c r="F128" s="896"/>
      <c r="G128" s="896"/>
      <c r="H128" s="896"/>
      <c r="I128" s="897"/>
      <c r="J128" s="673">
        <f>J126-J127</f>
        <v>0</v>
      </c>
      <c r="K128" s="673">
        <f t="shared" si="41"/>
        <v>0</v>
      </c>
      <c r="L128" s="890"/>
      <c r="M128" s="891"/>
      <c r="N128" s="169">
        <f>K128</f>
        <v>0</v>
      </c>
      <c r="O128" s="303">
        <v>60270</v>
      </c>
    </row>
    <row r="129" spans="1:15">
      <c r="A129" s="156"/>
      <c r="B129" s="115" t="str">
        <f>Sponsor!B133</f>
        <v>03</v>
      </c>
      <c r="C129" s="677" t="str">
        <f>IF(UMYr4!C129&lt;&gt;"",UMYr4!C129,"")</f>
        <v/>
      </c>
      <c r="D129" s="638">
        <f>Sponsor!H133</f>
        <v>0</v>
      </c>
      <c r="E129" s="692"/>
      <c r="F129" s="686"/>
      <c r="G129" s="686"/>
      <c r="H129" s="686"/>
      <c r="I129" s="686"/>
      <c r="J129" s="638">
        <f>SUM(E129:I129)</f>
        <v>0</v>
      </c>
      <c r="K129" s="638">
        <f t="shared" si="41"/>
        <v>0</v>
      </c>
      <c r="L129" s="686"/>
      <c r="M129" s="686"/>
      <c r="N129" s="167">
        <f>D129+J129+L129+M129</f>
        <v>0</v>
      </c>
      <c r="O129" s="304"/>
    </row>
    <row r="130" spans="1:15">
      <c r="A130" s="679">
        <f>Sponsor!A134</f>
        <v>60250</v>
      </c>
      <c r="B130" s="116"/>
      <c r="C130" s="102" t="str">
        <f>Sponsor!C134</f>
        <v>Less than $25K</v>
      </c>
      <c r="D130" s="124">
        <f>Sponsor!H134</f>
        <v>0</v>
      </c>
      <c r="E130" s="892" t="s">
        <v>679</v>
      </c>
      <c r="F130" s="893"/>
      <c r="G130" s="893"/>
      <c r="H130" s="893"/>
      <c r="I130" s="894"/>
      <c r="J130" s="673">
        <f>UMYr1!AD124</f>
        <v>0</v>
      </c>
      <c r="K130" s="673">
        <f t="shared" si="41"/>
        <v>0</v>
      </c>
      <c r="L130" s="888" t="s">
        <v>679</v>
      </c>
      <c r="M130" s="889"/>
      <c r="N130" s="168">
        <f>K130</f>
        <v>0</v>
      </c>
      <c r="O130" s="303">
        <v>60250</v>
      </c>
    </row>
    <row r="131" spans="1:15">
      <c r="A131" s="679">
        <f>Sponsor!A135</f>
        <v>60270</v>
      </c>
      <c r="B131" s="117"/>
      <c r="C131" s="102" t="str">
        <f>Sponsor!C135</f>
        <v>Greater than $25K</v>
      </c>
      <c r="D131" s="125">
        <f>Sponsor!H135</f>
        <v>0</v>
      </c>
      <c r="E131" s="895"/>
      <c r="F131" s="896"/>
      <c r="G131" s="896"/>
      <c r="H131" s="896"/>
      <c r="I131" s="897"/>
      <c r="J131" s="673">
        <f>J129-J130</f>
        <v>0</v>
      </c>
      <c r="K131" s="673">
        <f t="shared" si="41"/>
        <v>0</v>
      </c>
      <c r="L131" s="890"/>
      <c r="M131" s="891"/>
      <c r="N131" s="169">
        <f>K131</f>
        <v>0</v>
      </c>
      <c r="O131" s="303">
        <v>60270</v>
      </c>
    </row>
    <row r="132" spans="1:15">
      <c r="A132" s="156"/>
      <c r="B132" s="115" t="str">
        <f>Sponsor!B136</f>
        <v>04</v>
      </c>
      <c r="C132" s="677" t="str">
        <f>IF(UMYr4!C132&lt;&gt;"",UMYr4!C132,"")</f>
        <v/>
      </c>
      <c r="D132" s="638">
        <f>Sponsor!H136</f>
        <v>0</v>
      </c>
      <c r="E132" s="692"/>
      <c r="F132" s="686"/>
      <c r="G132" s="686"/>
      <c r="H132" s="686"/>
      <c r="I132" s="686"/>
      <c r="J132" s="638">
        <f>SUM(E132:I132)</f>
        <v>0</v>
      </c>
      <c r="K132" s="638">
        <f t="shared" si="41"/>
        <v>0</v>
      </c>
      <c r="L132" s="686"/>
      <c r="M132" s="686"/>
      <c r="N132" s="167">
        <f>D132+J132+L132+M132</f>
        <v>0</v>
      </c>
      <c r="O132" s="304"/>
    </row>
    <row r="133" spans="1:15">
      <c r="A133" s="679">
        <f>Sponsor!A137</f>
        <v>60250</v>
      </c>
      <c r="B133" s="116"/>
      <c r="C133" s="102" t="str">
        <f>Sponsor!C137</f>
        <v>Less than $25K</v>
      </c>
      <c r="D133" s="124">
        <f>Sponsor!H137</f>
        <v>0</v>
      </c>
      <c r="E133" s="892" t="s">
        <v>679</v>
      </c>
      <c r="F133" s="893"/>
      <c r="G133" s="893"/>
      <c r="H133" s="893"/>
      <c r="I133" s="894"/>
      <c r="J133" s="673">
        <f>UMYr1!AD125</f>
        <v>0</v>
      </c>
      <c r="K133" s="673">
        <f t="shared" si="41"/>
        <v>0</v>
      </c>
      <c r="L133" s="888" t="s">
        <v>679</v>
      </c>
      <c r="M133" s="889"/>
      <c r="N133" s="168">
        <f>K133</f>
        <v>0</v>
      </c>
      <c r="O133" s="303">
        <v>60250</v>
      </c>
    </row>
    <row r="134" spans="1:15">
      <c r="A134" s="679">
        <f>Sponsor!A138</f>
        <v>60270</v>
      </c>
      <c r="B134" s="117"/>
      <c r="C134" s="102" t="str">
        <f>Sponsor!C138</f>
        <v>Greater than $25K</v>
      </c>
      <c r="D134" s="125">
        <f>Sponsor!H138</f>
        <v>0</v>
      </c>
      <c r="E134" s="895"/>
      <c r="F134" s="896"/>
      <c r="G134" s="896"/>
      <c r="H134" s="896"/>
      <c r="I134" s="897"/>
      <c r="J134" s="673">
        <f>J132-J133</f>
        <v>0</v>
      </c>
      <c r="K134" s="673">
        <f t="shared" si="41"/>
        <v>0</v>
      </c>
      <c r="L134" s="890"/>
      <c r="M134" s="891"/>
      <c r="N134" s="169">
        <f>K134</f>
        <v>0</v>
      </c>
      <c r="O134" s="303">
        <v>60270</v>
      </c>
    </row>
    <row r="135" spans="1:15">
      <c r="A135" s="156"/>
      <c r="B135" s="115" t="str">
        <f>Sponsor!B139</f>
        <v>05</v>
      </c>
      <c r="C135" s="677" t="str">
        <f>IF(UMYr4!C135&lt;&gt;"",UMYr4!C135,"")</f>
        <v/>
      </c>
      <c r="D135" s="638">
        <f>Sponsor!H139</f>
        <v>0</v>
      </c>
      <c r="E135" s="692"/>
      <c r="F135" s="686"/>
      <c r="G135" s="686"/>
      <c r="H135" s="686"/>
      <c r="I135" s="686"/>
      <c r="J135" s="638">
        <f>SUM(E135:I135)</f>
        <v>0</v>
      </c>
      <c r="K135" s="638">
        <f t="shared" si="41"/>
        <v>0</v>
      </c>
      <c r="L135" s="686"/>
      <c r="M135" s="686"/>
      <c r="N135" s="167">
        <f>D135+J135+L135+M135</f>
        <v>0</v>
      </c>
      <c r="O135" s="304"/>
    </row>
    <row r="136" spans="1:15">
      <c r="A136" s="679">
        <f>Sponsor!A140</f>
        <v>60250</v>
      </c>
      <c r="B136" s="116"/>
      <c r="C136" s="102" t="str">
        <f>Sponsor!C140</f>
        <v>Less than $25K</v>
      </c>
      <c r="D136" s="124">
        <f>Sponsor!H140</f>
        <v>0</v>
      </c>
      <c r="E136" s="892" t="s">
        <v>679</v>
      </c>
      <c r="F136" s="893"/>
      <c r="G136" s="893"/>
      <c r="H136" s="893"/>
      <c r="I136" s="894"/>
      <c r="J136" s="673">
        <f>UMYr1!AD126</f>
        <v>0</v>
      </c>
      <c r="K136" s="673">
        <f t="shared" si="41"/>
        <v>0</v>
      </c>
      <c r="L136" s="888" t="s">
        <v>679</v>
      </c>
      <c r="M136" s="889"/>
      <c r="N136" s="168">
        <f>K136</f>
        <v>0</v>
      </c>
      <c r="O136" s="303">
        <v>60250</v>
      </c>
    </row>
    <row r="137" spans="1:15">
      <c r="A137" s="679">
        <f>Sponsor!A141</f>
        <v>60270</v>
      </c>
      <c r="B137" s="117"/>
      <c r="C137" s="102" t="str">
        <f>Sponsor!C141</f>
        <v>Greater than $25K</v>
      </c>
      <c r="D137" s="125">
        <f>Sponsor!H141</f>
        <v>0</v>
      </c>
      <c r="E137" s="895"/>
      <c r="F137" s="896"/>
      <c r="G137" s="896"/>
      <c r="H137" s="896"/>
      <c r="I137" s="897"/>
      <c r="J137" s="673">
        <f>J135-J136</f>
        <v>0</v>
      </c>
      <c r="K137" s="673">
        <f t="shared" si="41"/>
        <v>0</v>
      </c>
      <c r="L137" s="890"/>
      <c r="M137" s="891"/>
      <c r="N137" s="169">
        <f>K137</f>
        <v>0</v>
      </c>
      <c r="O137" s="303">
        <v>60270</v>
      </c>
    </row>
    <row r="138" spans="1:15">
      <c r="A138" s="156"/>
      <c r="B138" s="115" t="str">
        <f>Sponsor!B142</f>
        <v>06</v>
      </c>
      <c r="C138" s="677" t="str">
        <f>IF(UMYr4!C138&lt;&gt;"",UMYr4!C138,"")</f>
        <v/>
      </c>
      <c r="D138" s="638">
        <f>Sponsor!H142</f>
        <v>0</v>
      </c>
      <c r="E138" s="692"/>
      <c r="F138" s="686"/>
      <c r="G138" s="686"/>
      <c r="H138" s="686"/>
      <c r="I138" s="686"/>
      <c r="J138" s="638">
        <f>SUM(E138:I138)</f>
        <v>0</v>
      </c>
      <c r="K138" s="638">
        <f t="shared" si="41"/>
        <v>0</v>
      </c>
      <c r="L138" s="686"/>
      <c r="M138" s="686"/>
      <c r="N138" s="167">
        <f>D138+J138+L138+M138</f>
        <v>0</v>
      </c>
      <c r="O138" s="304"/>
    </row>
    <row r="139" spans="1:15">
      <c r="A139" s="679">
        <f>Sponsor!A143</f>
        <v>60250</v>
      </c>
      <c r="B139" s="116"/>
      <c r="C139" s="102" t="str">
        <f>Sponsor!C143</f>
        <v>Less than $25K</v>
      </c>
      <c r="D139" s="124">
        <f>Sponsor!H143</f>
        <v>0</v>
      </c>
      <c r="E139" s="892" t="s">
        <v>679</v>
      </c>
      <c r="F139" s="893"/>
      <c r="G139" s="893"/>
      <c r="H139" s="893"/>
      <c r="I139" s="894"/>
      <c r="J139" s="673">
        <f>UMYr1!AD127</f>
        <v>0</v>
      </c>
      <c r="K139" s="673">
        <f t="shared" si="41"/>
        <v>0</v>
      </c>
      <c r="L139" s="888" t="s">
        <v>679</v>
      </c>
      <c r="M139" s="889"/>
      <c r="N139" s="168">
        <f>K139</f>
        <v>0</v>
      </c>
      <c r="O139" s="303">
        <v>60250</v>
      </c>
    </row>
    <row r="140" spans="1:15">
      <c r="A140" s="679">
        <f>Sponsor!A144</f>
        <v>60270</v>
      </c>
      <c r="B140" s="117"/>
      <c r="C140" s="102" t="str">
        <f>Sponsor!C144</f>
        <v>Greater than $25K</v>
      </c>
      <c r="D140" s="125">
        <f>Sponsor!H144</f>
        <v>0</v>
      </c>
      <c r="E140" s="895"/>
      <c r="F140" s="896"/>
      <c r="G140" s="896"/>
      <c r="H140" s="896"/>
      <c r="I140" s="897"/>
      <c r="J140" s="673">
        <f>J138-J139</f>
        <v>0</v>
      </c>
      <c r="K140" s="673">
        <f t="shared" si="41"/>
        <v>0</v>
      </c>
      <c r="L140" s="890"/>
      <c r="M140" s="891"/>
      <c r="N140" s="169">
        <f>K140</f>
        <v>0</v>
      </c>
      <c r="O140" s="303">
        <v>60270</v>
      </c>
    </row>
    <row r="141" spans="1:15">
      <c r="A141" s="156"/>
      <c r="B141" s="115" t="str">
        <f>Sponsor!B145</f>
        <v>07</v>
      </c>
      <c r="C141" s="677" t="str">
        <f>IF(UMYr4!C141&lt;&gt;"",UMYr4!C141,"")</f>
        <v/>
      </c>
      <c r="D141" s="638">
        <f>Sponsor!H145</f>
        <v>0</v>
      </c>
      <c r="E141" s="692"/>
      <c r="F141" s="686"/>
      <c r="G141" s="686"/>
      <c r="H141" s="686"/>
      <c r="I141" s="686"/>
      <c r="J141" s="638">
        <f>SUM(E141:I141)</f>
        <v>0</v>
      </c>
      <c r="K141" s="638">
        <f t="shared" si="41"/>
        <v>0</v>
      </c>
      <c r="L141" s="686"/>
      <c r="M141" s="686"/>
      <c r="N141" s="167">
        <f>D141+J141+L141+M141</f>
        <v>0</v>
      </c>
      <c r="O141" s="304"/>
    </row>
    <row r="142" spans="1:15">
      <c r="A142" s="679">
        <f>Sponsor!A146</f>
        <v>60250</v>
      </c>
      <c r="B142" s="116"/>
      <c r="C142" s="102" t="str">
        <f>Sponsor!C146</f>
        <v>Less than $25K</v>
      </c>
      <c r="D142" s="124">
        <f>Sponsor!H146</f>
        <v>0</v>
      </c>
      <c r="E142" s="892" t="s">
        <v>679</v>
      </c>
      <c r="F142" s="893"/>
      <c r="G142" s="893"/>
      <c r="H142" s="893"/>
      <c r="I142" s="894"/>
      <c r="J142" s="673">
        <f>UMYr1!AD128</f>
        <v>0</v>
      </c>
      <c r="K142" s="673">
        <f t="shared" si="41"/>
        <v>0</v>
      </c>
      <c r="L142" s="888" t="s">
        <v>679</v>
      </c>
      <c r="M142" s="889"/>
      <c r="N142" s="168">
        <f>K142</f>
        <v>0</v>
      </c>
      <c r="O142" s="303">
        <v>60250</v>
      </c>
    </row>
    <row r="143" spans="1:15">
      <c r="A143" s="679">
        <f>Sponsor!A147</f>
        <v>60270</v>
      </c>
      <c r="B143" s="117"/>
      <c r="C143" s="102" t="str">
        <f>Sponsor!C147</f>
        <v>Greater than $25K</v>
      </c>
      <c r="D143" s="125">
        <f>Sponsor!H147</f>
        <v>0</v>
      </c>
      <c r="E143" s="895"/>
      <c r="F143" s="896"/>
      <c r="G143" s="896"/>
      <c r="H143" s="896"/>
      <c r="I143" s="897"/>
      <c r="J143" s="673">
        <f>J141-J142</f>
        <v>0</v>
      </c>
      <c r="K143" s="673">
        <f t="shared" si="41"/>
        <v>0</v>
      </c>
      <c r="L143" s="890"/>
      <c r="M143" s="891"/>
      <c r="N143" s="169">
        <f>K143</f>
        <v>0</v>
      </c>
      <c r="O143" s="303">
        <v>60270</v>
      </c>
    </row>
    <row r="144" spans="1:15">
      <c r="A144" s="156"/>
      <c r="B144" s="115" t="str">
        <f>Sponsor!B148</f>
        <v>08</v>
      </c>
      <c r="C144" s="677" t="str">
        <f>IF(UMYr4!C144&lt;&gt;"",UMYr4!C144,"")</f>
        <v/>
      </c>
      <c r="D144" s="638">
        <f>Sponsor!H148</f>
        <v>0</v>
      </c>
      <c r="E144" s="692"/>
      <c r="F144" s="686"/>
      <c r="G144" s="686"/>
      <c r="H144" s="686"/>
      <c r="I144" s="686"/>
      <c r="J144" s="638">
        <f>SUM(E144:I144)</f>
        <v>0</v>
      </c>
      <c r="K144" s="638">
        <f t="shared" si="41"/>
        <v>0</v>
      </c>
      <c r="L144" s="686"/>
      <c r="M144" s="686"/>
      <c r="N144" s="167">
        <f>D144+J144+L144+M144</f>
        <v>0</v>
      </c>
      <c r="O144" s="304"/>
    </row>
    <row r="145" spans="1:15">
      <c r="A145" s="679">
        <f>Sponsor!A149</f>
        <v>60250</v>
      </c>
      <c r="B145" s="116"/>
      <c r="C145" s="102" t="str">
        <f>Sponsor!C149</f>
        <v>Less than $25K</v>
      </c>
      <c r="D145" s="126">
        <f>Sponsor!H149</f>
        <v>0</v>
      </c>
      <c r="E145" s="892" t="s">
        <v>679</v>
      </c>
      <c r="F145" s="893"/>
      <c r="G145" s="893"/>
      <c r="H145" s="893"/>
      <c r="I145" s="894"/>
      <c r="J145" s="673">
        <f>UMYr1!AD129</f>
        <v>0</v>
      </c>
      <c r="K145" s="673">
        <f t="shared" si="41"/>
        <v>0</v>
      </c>
      <c r="L145" s="888" t="s">
        <v>679</v>
      </c>
      <c r="M145" s="889"/>
      <c r="N145" s="168">
        <f>K145</f>
        <v>0</v>
      </c>
      <c r="O145" s="303">
        <v>60250</v>
      </c>
    </row>
    <row r="146" spans="1:15">
      <c r="A146" s="679">
        <f>Sponsor!A150</f>
        <v>60270</v>
      </c>
      <c r="B146" s="117"/>
      <c r="C146" s="102" t="str">
        <f>Sponsor!C150</f>
        <v>Greater than $25K</v>
      </c>
      <c r="D146" s="127">
        <f>Sponsor!H150</f>
        <v>0</v>
      </c>
      <c r="E146" s="895"/>
      <c r="F146" s="896"/>
      <c r="G146" s="896"/>
      <c r="H146" s="896"/>
      <c r="I146" s="897"/>
      <c r="J146" s="673">
        <f>J144-J145</f>
        <v>0</v>
      </c>
      <c r="K146" s="673">
        <f t="shared" si="41"/>
        <v>0</v>
      </c>
      <c r="L146" s="890"/>
      <c r="M146" s="891"/>
      <c r="N146" s="169">
        <f>K146</f>
        <v>0</v>
      </c>
      <c r="O146" s="303">
        <v>60270</v>
      </c>
    </row>
    <row r="147" spans="1:15">
      <c r="A147" s="156"/>
      <c r="B147" s="115" t="str">
        <f>Sponsor!B151</f>
        <v>09</v>
      </c>
      <c r="C147" s="677" t="str">
        <f>IF(UMYr4!C147&lt;&gt;"",UMYr4!C147,"")</f>
        <v/>
      </c>
      <c r="D147" s="638">
        <f>Sponsor!H151</f>
        <v>0</v>
      </c>
      <c r="E147" s="692"/>
      <c r="F147" s="686"/>
      <c r="G147" s="686"/>
      <c r="H147" s="686"/>
      <c r="I147" s="686"/>
      <c r="J147" s="638">
        <f>SUM(E147:I147)</f>
        <v>0</v>
      </c>
      <c r="K147" s="638">
        <f t="shared" si="41"/>
        <v>0</v>
      </c>
      <c r="L147" s="686"/>
      <c r="M147" s="686"/>
      <c r="N147" s="167">
        <f>D147+J147+L147+M147</f>
        <v>0</v>
      </c>
      <c r="O147" s="304"/>
    </row>
    <row r="148" spans="1:15">
      <c r="A148" s="679">
        <f>Sponsor!A152</f>
        <v>60250</v>
      </c>
      <c r="B148" s="116"/>
      <c r="C148" s="102" t="str">
        <f>Sponsor!C152</f>
        <v>Less than $25K</v>
      </c>
      <c r="D148" s="126">
        <f>Sponsor!H152</f>
        <v>0</v>
      </c>
      <c r="E148" s="892" t="s">
        <v>679</v>
      </c>
      <c r="F148" s="893"/>
      <c r="G148" s="893"/>
      <c r="H148" s="893"/>
      <c r="I148" s="894"/>
      <c r="J148" s="673">
        <f>UMYr1!AD130</f>
        <v>0</v>
      </c>
      <c r="K148" s="673">
        <f t="shared" si="41"/>
        <v>0</v>
      </c>
      <c r="L148" s="888" t="s">
        <v>679</v>
      </c>
      <c r="M148" s="889"/>
      <c r="N148" s="168">
        <f>K148</f>
        <v>0</v>
      </c>
      <c r="O148" s="303">
        <v>60250</v>
      </c>
    </row>
    <row r="149" spans="1:15">
      <c r="A149" s="679">
        <f>Sponsor!A153</f>
        <v>60270</v>
      </c>
      <c r="B149" s="117"/>
      <c r="C149" s="102" t="str">
        <f>Sponsor!C153</f>
        <v>Greater than $25K</v>
      </c>
      <c r="D149" s="127">
        <f>Sponsor!H153</f>
        <v>0</v>
      </c>
      <c r="E149" s="895"/>
      <c r="F149" s="896"/>
      <c r="G149" s="896"/>
      <c r="H149" s="896"/>
      <c r="I149" s="897"/>
      <c r="J149" s="673">
        <f>J147-J148</f>
        <v>0</v>
      </c>
      <c r="K149" s="673">
        <f t="shared" si="41"/>
        <v>0</v>
      </c>
      <c r="L149" s="890"/>
      <c r="M149" s="891"/>
      <c r="N149" s="169">
        <f>K149</f>
        <v>0</v>
      </c>
      <c r="O149" s="303">
        <v>60270</v>
      </c>
    </row>
    <row r="150" spans="1:15">
      <c r="A150" s="156"/>
      <c r="B150" s="115">
        <f>Sponsor!B154</f>
        <v>10</v>
      </c>
      <c r="C150" s="677" t="str">
        <f>IF(UMYr4!C150&lt;&gt;"",UMYr4!C150,"")</f>
        <v/>
      </c>
      <c r="D150" s="638">
        <f>Sponsor!H154</f>
        <v>0</v>
      </c>
      <c r="E150" s="692"/>
      <c r="F150" s="686"/>
      <c r="G150" s="686"/>
      <c r="H150" s="686"/>
      <c r="I150" s="686"/>
      <c r="J150" s="638">
        <f>SUM(E150:I150)</f>
        <v>0</v>
      </c>
      <c r="K150" s="638">
        <f t="shared" si="41"/>
        <v>0</v>
      </c>
      <c r="L150" s="686"/>
      <c r="M150" s="686"/>
      <c r="N150" s="167">
        <f>D150+J150+L150+M150</f>
        <v>0</v>
      </c>
      <c r="O150" s="304"/>
    </row>
    <row r="151" spans="1:15">
      <c r="A151" s="679">
        <f>Sponsor!A155</f>
        <v>60250</v>
      </c>
      <c r="B151" s="116"/>
      <c r="C151" s="102" t="str">
        <f>Sponsor!C155</f>
        <v>Less than $25K</v>
      </c>
      <c r="D151" s="126">
        <f>Sponsor!H155</f>
        <v>0</v>
      </c>
      <c r="E151" s="892" t="s">
        <v>679</v>
      </c>
      <c r="F151" s="893"/>
      <c r="G151" s="893"/>
      <c r="H151" s="893"/>
      <c r="I151" s="894"/>
      <c r="J151" s="673">
        <f>UMYr1!AD131</f>
        <v>0</v>
      </c>
      <c r="K151" s="673">
        <f t="shared" si="41"/>
        <v>0</v>
      </c>
      <c r="L151" s="888" t="s">
        <v>679</v>
      </c>
      <c r="M151" s="889"/>
      <c r="N151" s="168">
        <f>K151</f>
        <v>0</v>
      </c>
      <c r="O151" s="303">
        <v>60250</v>
      </c>
    </row>
    <row r="152" spans="1:15">
      <c r="A152" s="679">
        <f>Sponsor!A156</f>
        <v>60270</v>
      </c>
      <c r="B152" s="116"/>
      <c r="C152" s="102" t="str">
        <f>Sponsor!C156</f>
        <v>Greater than $25K</v>
      </c>
      <c r="D152" s="127">
        <f>Sponsor!H156</f>
        <v>0</v>
      </c>
      <c r="E152" s="895"/>
      <c r="F152" s="896"/>
      <c r="G152" s="896"/>
      <c r="H152" s="896"/>
      <c r="I152" s="897"/>
      <c r="J152" s="673">
        <f>J150-J151</f>
        <v>0</v>
      </c>
      <c r="K152" s="673">
        <f t="shared" si="41"/>
        <v>0</v>
      </c>
      <c r="L152" s="890"/>
      <c r="M152" s="891"/>
      <c r="N152" s="169">
        <f>K152</f>
        <v>0</v>
      </c>
      <c r="O152" s="303">
        <v>60270</v>
      </c>
    </row>
    <row r="153" spans="1:15">
      <c r="A153" s="156"/>
      <c r="B153" s="115">
        <f>Sponsor!B157</f>
        <v>11</v>
      </c>
      <c r="C153" s="677" t="str">
        <f>IF(UMYr4!C153&lt;&gt;"",UMYr4!C153,"")</f>
        <v/>
      </c>
      <c r="D153" s="638">
        <f>Sponsor!H157</f>
        <v>0</v>
      </c>
      <c r="E153" s="692"/>
      <c r="F153" s="686"/>
      <c r="G153" s="686"/>
      <c r="H153" s="686"/>
      <c r="I153" s="686"/>
      <c r="J153" s="638">
        <f>SUM(E153:I153)</f>
        <v>0</v>
      </c>
      <c r="K153" s="638">
        <f t="shared" si="41"/>
        <v>0</v>
      </c>
      <c r="L153" s="686"/>
      <c r="M153" s="686"/>
      <c r="N153" s="167">
        <f>D153+J153+L153+M153</f>
        <v>0</v>
      </c>
      <c r="O153" s="304"/>
    </row>
    <row r="154" spans="1:15">
      <c r="A154" s="679">
        <f>Sponsor!A158</f>
        <v>60250</v>
      </c>
      <c r="B154" s="116"/>
      <c r="C154" s="102" t="str">
        <f>Sponsor!C158</f>
        <v>Less than $25K</v>
      </c>
      <c r="D154" s="126">
        <f>Sponsor!H158</f>
        <v>0</v>
      </c>
      <c r="E154" s="892" t="s">
        <v>679</v>
      </c>
      <c r="F154" s="893"/>
      <c r="G154" s="893"/>
      <c r="H154" s="893"/>
      <c r="I154" s="894"/>
      <c r="J154" s="673">
        <f>UMYr1!AD132</f>
        <v>0</v>
      </c>
      <c r="K154" s="673">
        <f t="shared" si="41"/>
        <v>0</v>
      </c>
      <c r="L154" s="888" t="s">
        <v>679</v>
      </c>
      <c r="M154" s="889"/>
      <c r="N154" s="168">
        <f>K154</f>
        <v>0</v>
      </c>
      <c r="O154" s="303">
        <v>60250</v>
      </c>
    </row>
    <row r="155" spans="1:15">
      <c r="A155" s="679">
        <f>Sponsor!A159</f>
        <v>60270</v>
      </c>
      <c r="B155" s="116"/>
      <c r="C155" s="102" t="str">
        <f>Sponsor!C159</f>
        <v>Greater than $25K</v>
      </c>
      <c r="D155" s="127">
        <f>Sponsor!H159</f>
        <v>0</v>
      </c>
      <c r="E155" s="895"/>
      <c r="F155" s="896"/>
      <c r="G155" s="896"/>
      <c r="H155" s="896"/>
      <c r="I155" s="897"/>
      <c r="J155" s="673">
        <f>J153-J154</f>
        <v>0</v>
      </c>
      <c r="K155" s="673">
        <f t="shared" si="41"/>
        <v>0</v>
      </c>
      <c r="L155" s="890"/>
      <c r="M155" s="891"/>
      <c r="N155" s="169">
        <f>K155</f>
        <v>0</v>
      </c>
      <c r="O155" s="303">
        <v>60270</v>
      </c>
    </row>
    <row r="156" spans="1:15">
      <c r="A156" s="156"/>
      <c r="B156" s="115">
        <f>Sponsor!B160</f>
        <v>12</v>
      </c>
      <c r="C156" s="677" t="str">
        <f>IF(UMYr4!C156&lt;&gt;"",UMYr4!C156,"")</f>
        <v/>
      </c>
      <c r="D156" s="638">
        <f>Sponsor!H160</f>
        <v>0</v>
      </c>
      <c r="E156" s="692"/>
      <c r="F156" s="686"/>
      <c r="G156" s="686"/>
      <c r="H156" s="686"/>
      <c r="I156" s="686"/>
      <c r="J156" s="638">
        <f>SUM(E156:I156)</f>
        <v>0</v>
      </c>
      <c r="K156" s="638">
        <f t="shared" si="41"/>
        <v>0</v>
      </c>
      <c r="L156" s="686"/>
      <c r="M156" s="686"/>
      <c r="N156" s="167">
        <f>D156+J156+L156+M156</f>
        <v>0</v>
      </c>
      <c r="O156" s="304"/>
    </row>
    <row r="157" spans="1:15">
      <c r="A157" s="679">
        <f>Sponsor!A161</f>
        <v>60250</v>
      </c>
      <c r="B157" s="116"/>
      <c r="C157" s="102" t="str">
        <f>Sponsor!C161</f>
        <v>Less than $25K</v>
      </c>
      <c r="D157" s="126">
        <f>Sponsor!H161</f>
        <v>0</v>
      </c>
      <c r="E157" s="892" t="s">
        <v>679</v>
      </c>
      <c r="F157" s="893"/>
      <c r="G157" s="893"/>
      <c r="H157" s="893"/>
      <c r="I157" s="894"/>
      <c r="J157" s="673">
        <f>UMYr1!AD133</f>
        <v>0</v>
      </c>
      <c r="K157" s="673">
        <f t="shared" si="41"/>
        <v>0</v>
      </c>
      <c r="L157" s="888" t="s">
        <v>679</v>
      </c>
      <c r="M157" s="889"/>
      <c r="N157" s="168">
        <f>K157</f>
        <v>0</v>
      </c>
      <c r="O157" s="303">
        <v>60250</v>
      </c>
    </row>
    <row r="158" spans="1:15">
      <c r="A158" s="679">
        <f>Sponsor!A162</f>
        <v>60270</v>
      </c>
      <c r="B158" s="116"/>
      <c r="C158" s="102" t="str">
        <f>Sponsor!C162</f>
        <v>Greater than $25K</v>
      </c>
      <c r="D158" s="127">
        <f>Sponsor!H162</f>
        <v>0</v>
      </c>
      <c r="E158" s="895"/>
      <c r="F158" s="896"/>
      <c r="G158" s="896"/>
      <c r="H158" s="896"/>
      <c r="I158" s="897"/>
      <c r="J158" s="673">
        <f>J156-J157</f>
        <v>0</v>
      </c>
      <c r="K158" s="673">
        <f t="shared" si="41"/>
        <v>0</v>
      </c>
      <c r="L158" s="890"/>
      <c r="M158" s="891"/>
      <c r="N158" s="169">
        <f>K158</f>
        <v>0</v>
      </c>
      <c r="O158" s="303">
        <v>60270</v>
      </c>
    </row>
    <row r="159" spans="1:15">
      <c r="A159" s="156"/>
      <c r="B159" s="115">
        <f>Sponsor!B163</f>
        <v>13</v>
      </c>
      <c r="C159" s="677" t="str">
        <f>IF(UMYr4!C159&lt;&gt;"",UMYr4!C159,"")</f>
        <v/>
      </c>
      <c r="D159" s="638">
        <f>Sponsor!H163</f>
        <v>0</v>
      </c>
      <c r="E159" s="692"/>
      <c r="F159" s="686"/>
      <c r="G159" s="686"/>
      <c r="H159" s="686"/>
      <c r="I159" s="686"/>
      <c r="J159" s="638">
        <f>SUM(E159:I159)</f>
        <v>0</v>
      </c>
      <c r="K159" s="638">
        <f t="shared" si="41"/>
        <v>0</v>
      </c>
      <c r="L159" s="686"/>
      <c r="M159" s="686"/>
      <c r="N159" s="167">
        <f>D159+J159+L159+M159</f>
        <v>0</v>
      </c>
      <c r="O159" s="304"/>
    </row>
    <row r="160" spans="1:15">
      <c r="A160" s="679">
        <f>Sponsor!A164</f>
        <v>60250</v>
      </c>
      <c r="B160" s="116"/>
      <c r="C160" s="102" t="str">
        <f>Sponsor!C164</f>
        <v>Less than $25K</v>
      </c>
      <c r="D160" s="126">
        <f>Sponsor!H164</f>
        <v>0</v>
      </c>
      <c r="E160" s="892" t="s">
        <v>679</v>
      </c>
      <c r="F160" s="893"/>
      <c r="G160" s="893"/>
      <c r="H160" s="893"/>
      <c r="I160" s="894"/>
      <c r="J160" s="673">
        <f>UMYr1!AD134</f>
        <v>0</v>
      </c>
      <c r="K160" s="673">
        <f t="shared" si="41"/>
        <v>0</v>
      </c>
      <c r="L160" s="888" t="s">
        <v>679</v>
      </c>
      <c r="M160" s="889"/>
      <c r="N160" s="168">
        <f>K160</f>
        <v>0</v>
      </c>
      <c r="O160" s="303">
        <v>60250</v>
      </c>
    </row>
    <row r="161" spans="1:15">
      <c r="A161" s="679">
        <f>Sponsor!A165</f>
        <v>60270</v>
      </c>
      <c r="B161" s="116"/>
      <c r="C161" s="102" t="str">
        <f>Sponsor!C165</f>
        <v>Greater than $25K</v>
      </c>
      <c r="D161" s="127">
        <f>Sponsor!H165</f>
        <v>0</v>
      </c>
      <c r="E161" s="895"/>
      <c r="F161" s="896"/>
      <c r="G161" s="896"/>
      <c r="H161" s="896"/>
      <c r="I161" s="897"/>
      <c r="J161" s="673">
        <f>J159-J160</f>
        <v>0</v>
      </c>
      <c r="K161" s="673">
        <f t="shared" si="41"/>
        <v>0</v>
      </c>
      <c r="L161" s="890"/>
      <c r="M161" s="891"/>
      <c r="N161" s="169">
        <f>K161</f>
        <v>0</v>
      </c>
      <c r="O161" s="303">
        <v>60270</v>
      </c>
    </row>
    <row r="162" spans="1:15" s="256" customFormat="1">
      <c r="A162" s="156"/>
      <c r="B162" s="115">
        <f>Sponsor!B166</f>
        <v>14</v>
      </c>
      <c r="C162" s="677" t="str">
        <f>IF(UMYr4!C162&lt;&gt;"",UMYr4!C162,"")</f>
        <v/>
      </c>
      <c r="D162" s="638">
        <f>Sponsor!H166</f>
        <v>0</v>
      </c>
      <c r="E162" s="692"/>
      <c r="F162" s="686"/>
      <c r="G162" s="686"/>
      <c r="H162" s="686"/>
      <c r="I162" s="686"/>
      <c r="J162" s="638">
        <f>SUM(E162:I162)</f>
        <v>0</v>
      </c>
      <c r="K162" s="638">
        <f t="shared" si="41"/>
        <v>0</v>
      </c>
      <c r="L162" s="686"/>
      <c r="M162" s="686"/>
      <c r="N162" s="167">
        <f>D162+J162+L162+M162</f>
        <v>0</v>
      </c>
      <c r="O162" s="304"/>
    </row>
    <row r="163" spans="1:15">
      <c r="A163" s="679">
        <f>Sponsor!A167</f>
        <v>60250</v>
      </c>
      <c r="B163" s="116"/>
      <c r="C163" s="102" t="str">
        <f>Sponsor!C167</f>
        <v>Less than $25K</v>
      </c>
      <c r="D163" s="126">
        <f>Sponsor!H167</f>
        <v>0</v>
      </c>
      <c r="E163" s="892" t="s">
        <v>679</v>
      </c>
      <c r="F163" s="893"/>
      <c r="G163" s="893"/>
      <c r="H163" s="893"/>
      <c r="I163" s="894"/>
      <c r="J163" s="673">
        <f>UMYr1!AD135</f>
        <v>0</v>
      </c>
      <c r="K163" s="673">
        <f t="shared" si="41"/>
        <v>0</v>
      </c>
      <c r="L163" s="888" t="s">
        <v>679</v>
      </c>
      <c r="M163" s="889"/>
      <c r="N163" s="168">
        <f>K163</f>
        <v>0</v>
      </c>
      <c r="O163" s="303">
        <v>60250</v>
      </c>
    </row>
    <row r="164" spans="1:15">
      <c r="A164" s="679">
        <f>Sponsor!A168</f>
        <v>60270</v>
      </c>
      <c r="B164" s="116"/>
      <c r="C164" s="102" t="str">
        <f>Sponsor!C168</f>
        <v>Greater than $25K</v>
      </c>
      <c r="D164" s="127">
        <f>Sponsor!H168</f>
        <v>0</v>
      </c>
      <c r="E164" s="895"/>
      <c r="F164" s="896"/>
      <c r="G164" s="896"/>
      <c r="H164" s="896"/>
      <c r="I164" s="897"/>
      <c r="J164" s="673">
        <f>J162-J163</f>
        <v>0</v>
      </c>
      <c r="K164" s="673">
        <f t="shared" si="41"/>
        <v>0</v>
      </c>
      <c r="L164" s="890"/>
      <c r="M164" s="891"/>
      <c r="N164" s="169">
        <f>K164</f>
        <v>0</v>
      </c>
      <c r="O164" s="303">
        <v>60270</v>
      </c>
    </row>
    <row r="165" spans="1:15">
      <c r="A165" s="156"/>
      <c r="B165" s="115">
        <f>Sponsor!B169</f>
        <v>15</v>
      </c>
      <c r="C165" s="677" t="str">
        <f>IF(UMYr4!C165&lt;&gt;"",UMYr4!C165,"")</f>
        <v/>
      </c>
      <c r="D165" s="638">
        <f>Sponsor!H169</f>
        <v>0</v>
      </c>
      <c r="E165" s="692"/>
      <c r="F165" s="686"/>
      <c r="G165" s="686"/>
      <c r="H165" s="686"/>
      <c r="I165" s="686"/>
      <c r="J165" s="638">
        <f>SUM(E165:I165)</f>
        <v>0</v>
      </c>
      <c r="K165" s="638">
        <f t="shared" si="41"/>
        <v>0</v>
      </c>
      <c r="L165" s="686"/>
      <c r="M165" s="686"/>
      <c r="N165" s="167">
        <f>D165+J165+L165+M165</f>
        <v>0</v>
      </c>
      <c r="O165" s="304"/>
    </row>
    <row r="166" spans="1:15">
      <c r="A166" s="679">
        <f>Sponsor!A170</f>
        <v>60250</v>
      </c>
      <c r="B166" s="116"/>
      <c r="C166" s="102" t="str">
        <f>Sponsor!C170</f>
        <v>Less than $25K</v>
      </c>
      <c r="D166" s="126">
        <f>Sponsor!H170</f>
        <v>0</v>
      </c>
      <c r="E166" s="892" t="s">
        <v>679</v>
      </c>
      <c r="F166" s="893"/>
      <c r="G166" s="893"/>
      <c r="H166" s="893"/>
      <c r="I166" s="894"/>
      <c r="J166" s="673">
        <f>UMYr1!AD136</f>
        <v>0</v>
      </c>
      <c r="K166" s="673">
        <f t="shared" si="41"/>
        <v>0</v>
      </c>
      <c r="L166" s="888" t="s">
        <v>679</v>
      </c>
      <c r="M166" s="889"/>
      <c r="N166" s="168">
        <f>K166</f>
        <v>0</v>
      </c>
      <c r="O166" s="303">
        <v>60250</v>
      </c>
    </row>
    <row r="167" spans="1:15">
      <c r="A167" s="679">
        <f>Sponsor!A171</f>
        <v>60270</v>
      </c>
      <c r="B167" s="116"/>
      <c r="C167" s="102" t="str">
        <f>Sponsor!C171</f>
        <v>Greater than $25K</v>
      </c>
      <c r="D167" s="127">
        <f>Sponsor!H171</f>
        <v>0</v>
      </c>
      <c r="E167" s="895"/>
      <c r="F167" s="896"/>
      <c r="G167" s="896"/>
      <c r="H167" s="896"/>
      <c r="I167" s="897"/>
      <c r="J167" s="673">
        <f>J165-J166</f>
        <v>0</v>
      </c>
      <c r="K167" s="673">
        <f t="shared" si="41"/>
        <v>0</v>
      </c>
      <c r="L167" s="890"/>
      <c r="M167" s="891"/>
      <c r="N167" s="169">
        <f>K167</f>
        <v>0</v>
      </c>
      <c r="O167" s="303">
        <v>60270</v>
      </c>
    </row>
    <row r="168" spans="1:15">
      <c r="A168" s="156"/>
      <c r="B168" s="115">
        <f>Sponsor!B172</f>
        <v>16</v>
      </c>
      <c r="C168" s="677" t="str">
        <f>IF(UMYr4!C168&lt;&gt;"",UMYr4!C168,"")</f>
        <v/>
      </c>
      <c r="D168" s="638">
        <f>Sponsor!H172</f>
        <v>0</v>
      </c>
      <c r="E168" s="692"/>
      <c r="F168" s="686"/>
      <c r="G168" s="686"/>
      <c r="H168" s="686"/>
      <c r="I168" s="686"/>
      <c r="J168" s="638">
        <f>SUM(E168:I168)</f>
        <v>0</v>
      </c>
      <c r="K168" s="638">
        <f t="shared" si="41"/>
        <v>0</v>
      </c>
      <c r="L168" s="686"/>
      <c r="M168" s="686"/>
      <c r="N168" s="167">
        <f>D168+J168+L168+M168</f>
        <v>0</v>
      </c>
      <c r="O168" s="304"/>
    </row>
    <row r="169" spans="1:15">
      <c r="A169" s="679">
        <f>Sponsor!A173</f>
        <v>60250</v>
      </c>
      <c r="B169" s="116"/>
      <c r="C169" s="102" t="str">
        <f>Sponsor!C173</f>
        <v>Less than $25K</v>
      </c>
      <c r="D169" s="126">
        <f>Sponsor!H173</f>
        <v>0</v>
      </c>
      <c r="E169" s="892" t="s">
        <v>679</v>
      </c>
      <c r="F169" s="893"/>
      <c r="G169" s="893"/>
      <c r="H169" s="893"/>
      <c r="I169" s="894"/>
      <c r="J169" s="673">
        <f>UMYr1!AD137</f>
        <v>0</v>
      </c>
      <c r="K169" s="673">
        <f t="shared" si="41"/>
        <v>0</v>
      </c>
      <c r="L169" s="888" t="s">
        <v>679</v>
      </c>
      <c r="M169" s="889"/>
      <c r="N169" s="168">
        <f>K169</f>
        <v>0</v>
      </c>
      <c r="O169" s="303">
        <v>60250</v>
      </c>
    </row>
    <row r="170" spans="1:15">
      <c r="A170" s="679">
        <f>Sponsor!A174</f>
        <v>60270</v>
      </c>
      <c r="B170" s="116"/>
      <c r="C170" s="102" t="str">
        <f>Sponsor!C174</f>
        <v>Greater than $25K</v>
      </c>
      <c r="D170" s="127">
        <f>Sponsor!H174</f>
        <v>0</v>
      </c>
      <c r="E170" s="895"/>
      <c r="F170" s="896"/>
      <c r="G170" s="896"/>
      <c r="H170" s="896"/>
      <c r="I170" s="897"/>
      <c r="J170" s="673">
        <f>J168-J169</f>
        <v>0</v>
      </c>
      <c r="K170" s="673">
        <f t="shared" si="41"/>
        <v>0</v>
      </c>
      <c r="L170" s="890"/>
      <c r="M170" s="891"/>
      <c r="N170" s="169">
        <f>K170</f>
        <v>0</v>
      </c>
      <c r="O170" s="303">
        <v>60270</v>
      </c>
    </row>
    <row r="171" spans="1:15">
      <c r="A171" s="156"/>
      <c r="B171" s="115">
        <f>Sponsor!B175</f>
        <v>17</v>
      </c>
      <c r="C171" s="677" t="str">
        <f>IF(UMYr4!C171&lt;&gt;"",UMYr4!C171,"")</f>
        <v/>
      </c>
      <c r="D171" s="638">
        <f>Sponsor!H175</f>
        <v>0</v>
      </c>
      <c r="E171" s="692"/>
      <c r="F171" s="686"/>
      <c r="G171" s="686"/>
      <c r="H171" s="686"/>
      <c r="I171" s="686"/>
      <c r="J171" s="638">
        <f>SUM(E171:I171)</f>
        <v>0</v>
      </c>
      <c r="K171" s="638">
        <f t="shared" si="41"/>
        <v>0</v>
      </c>
      <c r="L171" s="686"/>
      <c r="M171" s="686"/>
      <c r="N171" s="167">
        <f>D171+J171+L171+M171</f>
        <v>0</v>
      </c>
      <c r="O171" s="304"/>
    </row>
    <row r="172" spans="1:15">
      <c r="A172" s="679">
        <f>Sponsor!A176</f>
        <v>60250</v>
      </c>
      <c r="B172" s="116"/>
      <c r="C172" s="102" t="str">
        <f>Sponsor!C176</f>
        <v>Less than $25K</v>
      </c>
      <c r="D172" s="126">
        <f>Sponsor!H176</f>
        <v>0</v>
      </c>
      <c r="E172" s="892" t="s">
        <v>679</v>
      </c>
      <c r="F172" s="893"/>
      <c r="G172" s="893"/>
      <c r="H172" s="893"/>
      <c r="I172" s="894"/>
      <c r="J172" s="673">
        <f>UMYr1!AD138</f>
        <v>0</v>
      </c>
      <c r="K172" s="673">
        <f t="shared" si="41"/>
        <v>0</v>
      </c>
      <c r="L172" s="888" t="s">
        <v>679</v>
      </c>
      <c r="M172" s="889"/>
      <c r="N172" s="168">
        <f>K172</f>
        <v>0</v>
      </c>
      <c r="O172" s="303">
        <v>60250</v>
      </c>
    </row>
    <row r="173" spans="1:15">
      <c r="A173" s="679">
        <f>Sponsor!A177</f>
        <v>60270</v>
      </c>
      <c r="B173" s="116"/>
      <c r="C173" s="102" t="str">
        <f>Sponsor!C177</f>
        <v>Greater than $25K</v>
      </c>
      <c r="D173" s="127">
        <f>Sponsor!H177</f>
        <v>0</v>
      </c>
      <c r="E173" s="895"/>
      <c r="F173" s="896"/>
      <c r="G173" s="896"/>
      <c r="H173" s="896"/>
      <c r="I173" s="897"/>
      <c r="J173" s="673">
        <f>J171-J172</f>
        <v>0</v>
      </c>
      <c r="K173" s="673">
        <f t="shared" si="41"/>
        <v>0</v>
      </c>
      <c r="L173" s="890"/>
      <c r="M173" s="891"/>
      <c r="N173" s="169">
        <f>K173</f>
        <v>0</v>
      </c>
      <c r="O173" s="303">
        <v>60270</v>
      </c>
    </row>
    <row r="174" spans="1:15">
      <c r="A174" s="156"/>
      <c r="B174" s="115">
        <f>Sponsor!B178</f>
        <v>18</v>
      </c>
      <c r="C174" s="677" t="str">
        <f>IF(UMYr4!C174&lt;&gt;"",UMYr4!C174,"")</f>
        <v/>
      </c>
      <c r="D174" s="638">
        <f>Sponsor!H178</f>
        <v>0</v>
      </c>
      <c r="E174" s="692"/>
      <c r="F174" s="686"/>
      <c r="G174" s="686"/>
      <c r="H174" s="686"/>
      <c r="I174" s="686"/>
      <c r="J174" s="638">
        <f>SUM(E174:I174)</f>
        <v>0</v>
      </c>
      <c r="K174" s="638">
        <f t="shared" si="41"/>
        <v>0</v>
      </c>
      <c r="L174" s="686"/>
      <c r="M174" s="686"/>
      <c r="N174" s="167">
        <f>D174+J174+L174+M174</f>
        <v>0</v>
      </c>
      <c r="O174" s="304"/>
    </row>
    <row r="175" spans="1:15">
      <c r="A175" s="679">
        <f>Sponsor!A179</f>
        <v>60250</v>
      </c>
      <c r="B175" s="116"/>
      <c r="C175" s="102" t="str">
        <f>Sponsor!C179</f>
        <v>Less than $25K</v>
      </c>
      <c r="D175" s="126">
        <f>Sponsor!H179</f>
        <v>0</v>
      </c>
      <c r="E175" s="892" t="s">
        <v>679</v>
      </c>
      <c r="F175" s="893"/>
      <c r="G175" s="893"/>
      <c r="H175" s="893"/>
      <c r="I175" s="894"/>
      <c r="J175" s="673">
        <f>UMYr1!AD139</f>
        <v>0</v>
      </c>
      <c r="K175" s="673">
        <f t="shared" si="41"/>
        <v>0</v>
      </c>
      <c r="L175" s="888" t="s">
        <v>679</v>
      </c>
      <c r="M175" s="889"/>
      <c r="N175" s="168">
        <f>K175</f>
        <v>0</v>
      </c>
      <c r="O175" s="303">
        <v>60250</v>
      </c>
    </row>
    <row r="176" spans="1:15">
      <c r="A176" s="679">
        <f>Sponsor!A180</f>
        <v>60270</v>
      </c>
      <c r="B176" s="116"/>
      <c r="C176" s="102" t="str">
        <f>Sponsor!C180</f>
        <v>Greater than $25K</v>
      </c>
      <c r="D176" s="127">
        <f>Sponsor!H180</f>
        <v>0</v>
      </c>
      <c r="E176" s="895"/>
      <c r="F176" s="896"/>
      <c r="G176" s="896"/>
      <c r="H176" s="896"/>
      <c r="I176" s="897"/>
      <c r="J176" s="673">
        <f>J174-J175</f>
        <v>0</v>
      </c>
      <c r="K176" s="673">
        <f t="shared" si="41"/>
        <v>0</v>
      </c>
      <c r="L176" s="890"/>
      <c r="M176" s="891"/>
      <c r="N176" s="169">
        <f>K176</f>
        <v>0</v>
      </c>
      <c r="O176" s="303">
        <v>60270</v>
      </c>
    </row>
    <row r="177" spans="1:15">
      <c r="A177" s="156"/>
      <c r="B177" s="115">
        <f>Sponsor!B181</f>
        <v>19</v>
      </c>
      <c r="C177" s="677" t="str">
        <f>IF(UMYr4!C177&lt;&gt;"",UMYr4!C177,"")</f>
        <v/>
      </c>
      <c r="D177" s="638">
        <f>Sponsor!H181</f>
        <v>0</v>
      </c>
      <c r="E177" s="692"/>
      <c r="F177" s="686"/>
      <c r="G177" s="686"/>
      <c r="H177" s="686"/>
      <c r="I177" s="686"/>
      <c r="J177" s="638">
        <f>SUM(E177:I177)</f>
        <v>0</v>
      </c>
      <c r="K177" s="638">
        <f t="shared" si="41"/>
        <v>0</v>
      </c>
      <c r="L177" s="686"/>
      <c r="M177" s="686"/>
      <c r="N177" s="167">
        <f>D177+J177+L177+M177</f>
        <v>0</v>
      </c>
      <c r="O177" s="304"/>
    </row>
    <row r="178" spans="1:15">
      <c r="A178" s="679">
        <f>Sponsor!A182</f>
        <v>60250</v>
      </c>
      <c r="B178" s="116"/>
      <c r="C178" s="102" t="str">
        <f>Sponsor!C182</f>
        <v>Less than $25K</v>
      </c>
      <c r="D178" s="126">
        <f>Sponsor!H182</f>
        <v>0</v>
      </c>
      <c r="E178" s="892" t="s">
        <v>679</v>
      </c>
      <c r="F178" s="893"/>
      <c r="G178" s="893"/>
      <c r="H178" s="893"/>
      <c r="I178" s="894"/>
      <c r="J178" s="673">
        <f>UMYr1!AD140</f>
        <v>0</v>
      </c>
      <c r="K178" s="673">
        <f t="shared" si="41"/>
        <v>0</v>
      </c>
      <c r="L178" s="888" t="s">
        <v>679</v>
      </c>
      <c r="M178" s="889"/>
      <c r="N178" s="168">
        <f>K178</f>
        <v>0</v>
      </c>
      <c r="O178" s="303">
        <v>60250</v>
      </c>
    </row>
    <row r="179" spans="1:15">
      <c r="A179" s="679">
        <f>Sponsor!A183</f>
        <v>60270</v>
      </c>
      <c r="B179" s="116"/>
      <c r="C179" s="102" t="str">
        <f>Sponsor!C183</f>
        <v>Greater than $25K</v>
      </c>
      <c r="D179" s="127">
        <f>Sponsor!H183</f>
        <v>0</v>
      </c>
      <c r="E179" s="895"/>
      <c r="F179" s="896"/>
      <c r="G179" s="896"/>
      <c r="H179" s="896"/>
      <c r="I179" s="897"/>
      <c r="J179" s="673">
        <f>J177-J178</f>
        <v>0</v>
      </c>
      <c r="K179" s="673">
        <f t="shared" si="41"/>
        <v>0</v>
      </c>
      <c r="L179" s="890"/>
      <c r="M179" s="891"/>
      <c r="N179" s="169">
        <f>K179</f>
        <v>0</v>
      </c>
      <c r="O179" s="303">
        <v>60270</v>
      </c>
    </row>
    <row r="180" spans="1:15">
      <c r="A180" s="156"/>
      <c r="B180" s="115">
        <f>Sponsor!B184</f>
        <v>20</v>
      </c>
      <c r="C180" s="677" t="str">
        <f>IF(UMYr4!C180&lt;&gt;"",UMYr4!C180,"")</f>
        <v/>
      </c>
      <c r="D180" s="638">
        <f>Sponsor!H184</f>
        <v>0</v>
      </c>
      <c r="E180" s="692"/>
      <c r="F180" s="686"/>
      <c r="G180" s="686"/>
      <c r="H180" s="686"/>
      <c r="I180" s="686"/>
      <c r="J180" s="638">
        <f>SUM(E180:I180)</f>
        <v>0</v>
      </c>
      <c r="K180" s="638">
        <f t="shared" si="41"/>
        <v>0</v>
      </c>
      <c r="L180" s="686"/>
      <c r="M180" s="686"/>
      <c r="N180" s="167">
        <f>D180+J180+L180+M180</f>
        <v>0</v>
      </c>
      <c r="O180" s="304"/>
    </row>
    <row r="181" spans="1:15">
      <c r="A181" s="679">
        <f>Sponsor!A185</f>
        <v>60250</v>
      </c>
      <c r="B181" s="116"/>
      <c r="C181" s="102" t="str">
        <f>Sponsor!C185</f>
        <v>Less than $25K</v>
      </c>
      <c r="D181" s="126">
        <f>Sponsor!H185</f>
        <v>0</v>
      </c>
      <c r="E181" s="892" t="s">
        <v>679</v>
      </c>
      <c r="F181" s="893"/>
      <c r="G181" s="893"/>
      <c r="H181" s="893"/>
      <c r="I181" s="894"/>
      <c r="J181" s="673">
        <f>UMYr1!AD141</f>
        <v>0</v>
      </c>
      <c r="K181" s="673">
        <f t="shared" si="41"/>
        <v>0</v>
      </c>
      <c r="L181" s="888" t="s">
        <v>679</v>
      </c>
      <c r="M181" s="889"/>
      <c r="N181" s="168">
        <f>K181</f>
        <v>0</v>
      </c>
      <c r="O181" s="303">
        <v>60250</v>
      </c>
    </row>
    <row r="182" spans="1:15" ht="13.5" thickBot="1">
      <c r="A182" s="159">
        <f>Sponsor!A186</f>
        <v>60270</v>
      </c>
      <c r="B182" s="116"/>
      <c r="C182" s="102" t="str">
        <f>Sponsor!C186</f>
        <v>Greater than $25K</v>
      </c>
      <c r="D182" s="127">
        <f>Sponsor!H186</f>
        <v>0</v>
      </c>
      <c r="E182" s="895"/>
      <c r="F182" s="896"/>
      <c r="G182" s="896"/>
      <c r="H182" s="896"/>
      <c r="I182" s="897"/>
      <c r="J182" s="171">
        <f>J180-J181</f>
        <v>0</v>
      </c>
      <c r="K182" s="171">
        <f t="shared" si="41"/>
        <v>0</v>
      </c>
      <c r="L182" s="951"/>
      <c r="M182" s="952"/>
      <c r="N182" s="169">
        <f>K182</f>
        <v>0</v>
      </c>
      <c r="O182" s="303">
        <v>60270</v>
      </c>
    </row>
    <row r="183" spans="1:15" ht="13.5" thickBot="1">
      <c r="A183" s="327"/>
      <c r="B183" s="919" t="s">
        <v>602</v>
      </c>
      <c r="C183" s="1055"/>
      <c r="D183" s="308">
        <f>Sponsor!H187</f>
        <v>0</v>
      </c>
      <c r="E183" s="309">
        <f>E123+E126+E129+E132+E135+E138+E141+E144+E147+E150+E153+E156+E159+E162+E165+E168+E171+E174+E177+E180</f>
        <v>0</v>
      </c>
      <c r="F183" s="309">
        <f t="shared" ref="F183:M183" si="42">F123+F126+F129+F132+F135+F138+F141+F144+F147+F150+F153+F156+F159+F162+F165+F168+F171+F174+F177+F180</f>
        <v>0</v>
      </c>
      <c r="G183" s="309">
        <f t="shared" si="42"/>
        <v>0</v>
      </c>
      <c r="H183" s="309">
        <f t="shared" si="42"/>
        <v>0</v>
      </c>
      <c r="I183" s="309">
        <f t="shared" si="42"/>
        <v>0</v>
      </c>
      <c r="J183" s="309">
        <f t="shared" si="42"/>
        <v>0</v>
      </c>
      <c r="K183" s="309">
        <f t="shared" si="42"/>
        <v>0</v>
      </c>
      <c r="L183" s="309">
        <f t="shared" si="42"/>
        <v>0</v>
      </c>
      <c r="M183" s="309">
        <f t="shared" si="42"/>
        <v>0</v>
      </c>
      <c r="N183" s="170">
        <f>D183+J183+L183+M183</f>
        <v>0</v>
      </c>
    </row>
  </sheetData>
  <sheetProtection algorithmName="SHA-512" hashValue="ysKU+dzrO2moNNM0MvU8ZZFCvU8CqXgPl1ixWDhbrynxmhrUoDztsxvTRaAznIS5mQEuEq7kmRcNVhiniGjcKQ==" saltValue="PyvGSpy8OzSwVSobrjCdUw==" spinCount="100000" sheet="1" objects="1" scenarios="1"/>
  <mergeCells count="117">
    <mergeCell ref="K2:L2"/>
    <mergeCell ref="K3:L3"/>
    <mergeCell ref="K4:L4"/>
    <mergeCell ref="A4:B4"/>
    <mergeCell ref="O1:Q1"/>
    <mergeCell ref="A1:C1"/>
    <mergeCell ref="D1:N1"/>
    <mergeCell ref="L169:M170"/>
    <mergeCell ref="L172:M173"/>
    <mergeCell ref="L166:M167"/>
    <mergeCell ref="L142:M143"/>
    <mergeCell ref="L151:M152"/>
    <mergeCell ref="D4:E4"/>
    <mergeCell ref="F4:G4"/>
    <mergeCell ref="H3:J3"/>
    <mergeCell ref="H4:J4"/>
    <mergeCell ref="P107:R107"/>
    <mergeCell ref="P108:R108"/>
    <mergeCell ref="L124:M125"/>
    <mergeCell ref="F55:J59"/>
    <mergeCell ref="E139:I140"/>
    <mergeCell ref="E142:I143"/>
    <mergeCell ref="E148:I149"/>
    <mergeCell ref="O104:R104"/>
    <mergeCell ref="P105:R105"/>
    <mergeCell ref="P106:R106"/>
    <mergeCell ref="E124:I125"/>
    <mergeCell ref="L145:M146"/>
    <mergeCell ref="L148:M149"/>
    <mergeCell ref="L127:M128"/>
    <mergeCell ref="L139:M140"/>
    <mergeCell ref="L133:M134"/>
    <mergeCell ref="L136:M137"/>
    <mergeCell ref="L130:M131"/>
    <mergeCell ref="P5:P6"/>
    <mergeCell ref="K5:K6"/>
    <mergeCell ref="L5:M5"/>
    <mergeCell ref="O5:O6"/>
    <mergeCell ref="A2:B2"/>
    <mergeCell ref="O54:O59"/>
    <mergeCell ref="O37:Q37"/>
    <mergeCell ref="O43:Q43"/>
    <mergeCell ref="O14:Q14"/>
    <mergeCell ref="Q5:Q6"/>
    <mergeCell ref="O2:Q4"/>
    <mergeCell ref="O7:Q7"/>
    <mergeCell ref="O32:Q32"/>
    <mergeCell ref="B42:C42"/>
    <mergeCell ref="O27:Q27"/>
    <mergeCell ref="B53:C53"/>
    <mergeCell ref="B36:C36"/>
    <mergeCell ref="B12:C12"/>
    <mergeCell ref="B23:C23"/>
    <mergeCell ref="B30:C30"/>
    <mergeCell ref="H2:J2"/>
    <mergeCell ref="L54:M54"/>
    <mergeCell ref="D3:G3"/>
    <mergeCell ref="D5:D6"/>
    <mergeCell ref="A5:A6"/>
    <mergeCell ref="D2:G2"/>
    <mergeCell ref="E130:I131"/>
    <mergeCell ref="E172:I173"/>
    <mergeCell ref="E175:I176"/>
    <mergeCell ref="E178:I179"/>
    <mergeCell ref="E151:I152"/>
    <mergeCell ref="E181:I182"/>
    <mergeCell ref="E160:I161"/>
    <mergeCell ref="E163:I164"/>
    <mergeCell ref="E166:I167"/>
    <mergeCell ref="E169:I170"/>
    <mergeCell ref="B77:C77"/>
    <mergeCell ref="B102:C102"/>
    <mergeCell ref="B83:C83"/>
    <mergeCell ref="B79:C79"/>
    <mergeCell ref="B81:C81"/>
    <mergeCell ref="E5:J5"/>
    <mergeCell ref="A3:B3"/>
    <mergeCell ref="B74:C74"/>
    <mergeCell ref="B64:N64"/>
    <mergeCell ref="B63:C63"/>
    <mergeCell ref="E157:I158"/>
    <mergeCell ref="E133:I134"/>
    <mergeCell ref="B73:C73"/>
    <mergeCell ref="B75:C75"/>
    <mergeCell ref="B66:C66"/>
    <mergeCell ref="B52:C52"/>
    <mergeCell ref="B67:C67"/>
    <mergeCell ref="B183:C183"/>
    <mergeCell ref="B80:C80"/>
    <mergeCell ref="B120:C120"/>
    <mergeCell ref="B110:N110"/>
    <mergeCell ref="B78:C78"/>
    <mergeCell ref="E154:I155"/>
    <mergeCell ref="B109:C109"/>
    <mergeCell ref="E136:I137"/>
    <mergeCell ref="E145:I146"/>
    <mergeCell ref="B84:C84"/>
    <mergeCell ref="E127:I128"/>
    <mergeCell ref="M78:M83"/>
    <mergeCell ref="L181:M182"/>
    <mergeCell ref="L154:M155"/>
    <mergeCell ref="L157:M158"/>
    <mergeCell ref="L160:M161"/>
    <mergeCell ref="L163:M164"/>
    <mergeCell ref="L175:M176"/>
    <mergeCell ref="L178:M179"/>
    <mergeCell ref="N5:N6"/>
    <mergeCell ref="B5:B6"/>
    <mergeCell ref="C5:C6"/>
    <mergeCell ref="B13:C13"/>
    <mergeCell ref="B62:C62"/>
    <mergeCell ref="B68:C68"/>
    <mergeCell ref="B69:C69"/>
    <mergeCell ref="B60:C60"/>
    <mergeCell ref="D54:D59"/>
    <mergeCell ref="B26:C26"/>
    <mergeCell ref="B31:C31"/>
  </mergeCells>
  <phoneticPr fontId="0" type="noConversion"/>
  <conditionalFormatting sqref="A8">
    <cfRule type="expression" dxfId="101" priority="118" stopIfTrue="1">
      <formula>OR($AH$8&gt;0,$AJ$8&gt;0)</formula>
    </cfRule>
  </conditionalFormatting>
  <conditionalFormatting sqref="A9">
    <cfRule type="expression" dxfId="100" priority="117" stopIfTrue="1">
      <formula>OR($AH$9&gt;0,$AJ$9&gt;0)</formula>
    </cfRule>
  </conditionalFormatting>
  <conditionalFormatting sqref="A10">
    <cfRule type="expression" dxfId="99" priority="116" stopIfTrue="1">
      <formula>OR($AH$10&gt;0,$AJ$10&gt;0)</formula>
    </cfRule>
  </conditionalFormatting>
  <conditionalFormatting sqref="A11">
    <cfRule type="expression" dxfId="98" priority="115" stopIfTrue="1">
      <formula>OR($AH$11&gt;0,$AJ$11&gt;0)</formula>
    </cfRule>
  </conditionalFormatting>
  <conditionalFormatting sqref="A107">
    <cfRule type="expression" dxfId="97" priority="110" stopIfTrue="1">
      <formula>OR($AH$40&gt;0,$AJ$40&gt;0)</formula>
    </cfRule>
  </conditionalFormatting>
  <conditionalFormatting sqref="A118">
    <cfRule type="expression" dxfId="96" priority="109" stopIfTrue="1">
      <formula>OR($AH$52&gt;0,$AJ$52&gt;0)</formula>
    </cfRule>
  </conditionalFormatting>
  <conditionalFormatting sqref="A86">
    <cfRule type="expression" dxfId="95" priority="106" stopIfTrue="1">
      <formula>OR($AH$15&gt;0,$AJ$15&gt;0)</formula>
    </cfRule>
  </conditionalFormatting>
  <conditionalFormatting sqref="A87">
    <cfRule type="expression" dxfId="94" priority="105" stopIfTrue="1">
      <formula>OR($AH$16&gt;0,$AJ$16&gt;0)</formula>
    </cfRule>
  </conditionalFormatting>
  <conditionalFormatting sqref="A88">
    <cfRule type="expression" dxfId="93" priority="104" stopIfTrue="1">
      <formula>OR($AH$17&gt;0,$AJ$17&gt;0)</formula>
    </cfRule>
  </conditionalFormatting>
  <conditionalFormatting sqref="A89">
    <cfRule type="expression" dxfId="92" priority="103" stopIfTrue="1">
      <formula>OR($AH$18&gt;0,$AJ$18&gt;0)</formula>
    </cfRule>
  </conditionalFormatting>
  <conditionalFormatting sqref="A90">
    <cfRule type="expression" dxfId="91" priority="102" stopIfTrue="1">
      <formula>OR($AH$19&gt;0,$AJ$19&gt;0)</formula>
    </cfRule>
  </conditionalFormatting>
  <conditionalFormatting sqref="A91">
    <cfRule type="expression" dxfId="90" priority="101" stopIfTrue="1">
      <formula>OR($AH$20&gt;0,$AJ$20&gt;0)</formula>
    </cfRule>
  </conditionalFormatting>
  <conditionalFormatting sqref="A92">
    <cfRule type="expression" dxfId="89" priority="100" stopIfTrue="1">
      <formula>OR($AH$21&gt;0,$AJ$21&gt;0)</formula>
    </cfRule>
  </conditionalFormatting>
  <conditionalFormatting sqref="A93">
    <cfRule type="expression" dxfId="88" priority="99" stopIfTrue="1">
      <formula>OR($AH$22&gt;0,$AJ$22&gt;0)</formula>
    </cfRule>
  </conditionalFormatting>
  <conditionalFormatting sqref="A94">
    <cfRule type="expression" dxfId="87" priority="98" stopIfTrue="1">
      <formula>OR($AH$23&gt;0,$AJ$23&gt;0)</formula>
    </cfRule>
  </conditionalFormatting>
  <conditionalFormatting sqref="A95">
    <cfRule type="expression" dxfId="86" priority="97" stopIfTrue="1">
      <formula>OR($AH$24&gt;0,$AJ$24&gt;0)</formula>
    </cfRule>
  </conditionalFormatting>
  <conditionalFormatting sqref="A96">
    <cfRule type="expression" dxfId="85" priority="96" stopIfTrue="1">
      <formula>OR($AH$25&gt;0,$AJ$25&gt;0)</formula>
    </cfRule>
  </conditionalFormatting>
  <conditionalFormatting sqref="A97">
    <cfRule type="expression" dxfId="84" priority="95" stopIfTrue="1">
      <formula>OR($AH$26&gt;0,$AJ$26&gt;0)</formula>
    </cfRule>
  </conditionalFormatting>
  <conditionalFormatting sqref="A98">
    <cfRule type="expression" dxfId="83" priority="94" stopIfTrue="1">
      <formula>OR($AH$27&gt;0,$AJ$27&gt;0)</formula>
    </cfRule>
  </conditionalFormatting>
  <conditionalFormatting sqref="A29">
    <cfRule type="expression" dxfId="82" priority="93" stopIfTrue="1">
      <formula>OR($AH$35&gt;0,$AJ$35&gt;0)</formula>
    </cfRule>
  </conditionalFormatting>
  <conditionalFormatting sqref="A104">
    <cfRule type="expression" dxfId="81" priority="91" stopIfTrue="1">
      <formula>OR($AH$37&gt;0,$AJ$37&gt;0)</formula>
    </cfRule>
  </conditionalFormatting>
  <conditionalFormatting sqref="A105">
    <cfRule type="expression" dxfId="80" priority="90" stopIfTrue="1">
      <formula>OR($AH$38&gt;0,$AJ$38&gt;0)</formula>
    </cfRule>
  </conditionalFormatting>
  <conditionalFormatting sqref="A106">
    <cfRule type="expression" dxfId="79" priority="89" stopIfTrue="1">
      <formula>OR($AH$39&gt;0,$AJ$39&gt;0)</formula>
    </cfRule>
  </conditionalFormatting>
  <conditionalFormatting sqref="A111">
    <cfRule type="expression" dxfId="78" priority="86" stopIfTrue="1">
      <formula>OR($AH$45&gt;0,$AJ$45&gt;0)</formula>
    </cfRule>
  </conditionalFormatting>
  <conditionalFormatting sqref="A112">
    <cfRule type="expression" dxfId="77" priority="85" stopIfTrue="1">
      <formula>OR($AH$46&gt;0,$AJ$46&gt;0)</formula>
    </cfRule>
  </conditionalFormatting>
  <conditionalFormatting sqref="A113">
    <cfRule type="expression" dxfId="76" priority="84" stopIfTrue="1">
      <formula>OR($AH$47&gt;0,$AJ$47&gt;0)</formula>
    </cfRule>
  </conditionalFormatting>
  <conditionalFormatting sqref="A114">
    <cfRule type="expression" dxfId="75" priority="83" stopIfTrue="1">
      <formula>OR($AH$48&gt;0,$AJ$48&gt;0)</formula>
    </cfRule>
  </conditionalFormatting>
  <conditionalFormatting sqref="A115">
    <cfRule type="expression" dxfId="74" priority="82" stopIfTrue="1">
      <formula>OR($AH$49&gt;0,$AJ$49&gt;0)</formula>
    </cfRule>
  </conditionalFormatting>
  <conditionalFormatting sqref="A116">
    <cfRule type="expression" dxfId="73" priority="81" stopIfTrue="1">
      <formula>OR($AH$50&gt;0,$AJ$50&gt;0)</formula>
    </cfRule>
  </conditionalFormatting>
  <conditionalFormatting sqref="A117">
    <cfRule type="expression" dxfId="72" priority="80" stopIfTrue="1">
      <formula>OR($AH$51&gt;0,$AJ$51&gt;0)</formula>
    </cfRule>
  </conditionalFormatting>
  <conditionalFormatting sqref="A28">
    <cfRule type="expression" dxfId="71" priority="125" stopIfTrue="1">
      <formula>OR($AH$34&gt;0,$AJ$34&gt;0)</formula>
    </cfRule>
  </conditionalFormatting>
  <conditionalFormatting sqref="A30">
    <cfRule type="expression" dxfId="70" priority="127" stopIfTrue="1">
      <formula>OR($AH$42&gt;0,$AJ$42&gt;0)</formula>
    </cfRule>
  </conditionalFormatting>
  <conditionalFormatting sqref="A51">
    <cfRule type="expression" dxfId="69" priority="128" stopIfTrue="1">
      <formula>OR($AH$54&gt;0,$AJ$54&gt;0)</formula>
    </cfRule>
  </conditionalFormatting>
  <conditionalFormatting sqref="A99">
    <cfRule type="expression" dxfId="68" priority="142" stopIfTrue="1">
      <formula>OR($AH$28&gt;0,$AJ$28&gt;0)</formula>
    </cfRule>
  </conditionalFormatting>
  <conditionalFormatting sqref="A100">
    <cfRule type="expression" dxfId="67" priority="143" stopIfTrue="1">
      <formula>OR($AH$29&gt;0,$AJ$29&gt;0)</formula>
    </cfRule>
  </conditionalFormatting>
  <conditionalFormatting sqref="A108">
    <cfRule type="expression" dxfId="66" priority="148" stopIfTrue="1">
      <formula>OR($AH$41&gt;0,$AJ$41&gt;0)</formula>
    </cfRule>
  </conditionalFormatting>
  <conditionalFormatting sqref="A119">
    <cfRule type="expression" dxfId="65" priority="157" stopIfTrue="1">
      <formula>OR($AH$53&gt;0,$AJ$53&gt;0)</formula>
    </cfRule>
  </conditionalFormatting>
  <conditionalFormatting sqref="E102 E12">
    <cfRule type="expression" dxfId="64" priority="158" stopIfTrue="1">
      <formula>$AC$32&gt;0</formula>
    </cfRule>
  </conditionalFormatting>
  <conditionalFormatting sqref="F102 F12">
    <cfRule type="expression" dxfId="63" priority="159" stopIfTrue="1">
      <formula>$AD$32&gt;0</formula>
    </cfRule>
  </conditionalFormatting>
  <conditionalFormatting sqref="G102 G12">
    <cfRule type="expression" dxfId="62" priority="160" stopIfTrue="1">
      <formula>$AE$32&gt;0</formula>
    </cfRule>
  </conditionalFormatting>
  <conditionalFormatting sqref="H102 H12">
    <cfRule type="expression" dxfId="61" priority="161" stopIfTrue="1">
      <formula>$AF$32&gt;0</formula>
    </cfRule>
  </conditionalFormatting>
  <conditionalFormatting sqref="I102 I12">
    <cfRule type="expression" dxfId="60" priority="162" stopIfTrue="1">
      <formula>$AG$32&gt;0</formula>
    </cfRule>
  </conditionalFormatting>
  <conditionalFormatting sqref="E24:E25">
    <cfRule type="expression" dxfId="59" priority="163" stopIfTrue="1">
      <formula>$AC$31&gt;0</formula>
    </cfRule>
  </conditionalFormatting>
  <conditionalFormatting sqref="F24:F25">
    <cfRule type="expression" dxfId="58" priority="164" stopIfTrue="1">
      <formula>$AD$31&gt;0</formula>
    </cfRule>
  </conditionalFormatting>
  <conditionalFormatting sqref="G24:G25">
    <cfRule type="expression" dxfId="57" priority="165" stopIfTrue="1">
      <formula>$AE$31&gt;0</formula>
    </cfRule>
  </conditionalFormatting>
  <conditionalFormatting sqref="H24:H25">
    <cfRule type="expression" dxfId="56" priority="166" stopIfTrue="1">
      <formula>$AF$31&gt;0</formula>
    </cfRule>
  </conditionalFormatting>
  <conditionalFormatting sqref="I24:I25">
    <cfRule type="expression" dxfId="55" priority="167" stopIfTrue="1">
      <formula>$AG$31&gt;0</formula>
    </cfRule>
  </conditionalFormatting>
  <conditionalFormatting sqref="E30 E109">
    <cfRule type="expression" dxfId="54" priority="168" stopIfTrue="1">
      <formula>$AC$42&gt;0</formula>
    </cfRule>
  </conditionalFormatting>
  <conditionalFormatting sqref="F30 F109">
    <cfRule type="expression" dxfId="53" priority="169" stopIfTrue="1">
      <formula>$AD$42&gt;0</formula>
    </cfRule>
  </conditionalFormatting>
  <conditionalFormatting sqref="G30 G109">
    <cfRule type="expression" dxfId="52" priority="170" stopIfTrue="1">
      <formula>$AE$42&gt;0</formula>
    </cfRule>
  </conditionalFormatting>
  <conditionalFormatting sqref="H30 H109">
    <cfRule type="expression" dxfId="51" priority="171" stopIfTrue="1">
      <formula>$AF$42&gt;0</formula>
    </cfRule>
  </conditionalFormatting>
  <conditionalFormatting sqref="I30 I109">
    <cfRule type="expression" dxfId="50" priority="172" stopIfTrue="1">
      <formula>$AG$42&gt;0</formula>
    </cfRule>
  </conditionalFormatting>
  <conditionalFormatting sqref="E51 E120">
    <cfRule type="expression" dxfId="49" priority="173" stopIfTrue="1">
      <formula>$AC$54&gt;0</formula>
    </cfRule>
  </conditionalFormatting>
  <conditionalFormatting sqref="F51 F120">
    <cfRule type="expression" dxfId="48" priority="174" stopIfTrue="1">
      <formula>$AD$54&gt;0</formula>
    </cfRule>
  </conditionalFormatting>
  <conditionalFormatting sqref="G51 G120">
    <cfRule type="expression" dxfId="47" priority="175" stopIfTrue="1">
      <formula>$AE$54&gt;0</formula>
    </cfRule>
  </conditionalFormatting>
  <conditionalFormatting sqref="H51 H120">
    <cfRule type="expression" dxfId="46" priority="176" stopIfTrue="1">
      <formula>$AF$54&gt;0</formula>
    </cfRule>
  </conditionalFormatting>
  <conditionalFormatting sqref="I51 I120">
    <cfRule type="expression" dxfId="45" priority="177" stopIfTrue="1">
      <formula>$AG$54&gt;0</formula>
    </cfRule>
  </conditionalFormatting>
  <conditionalFormatting sqref="A12">
    <cfRule type="expression" dxfId="44" priority="182" stopIfTrue="1">
      <formula>OR($AH$32&gt;0,$AJ$32&gt;0)</formula>
    </cfRule>
  </conditionalFormatting>
  <conditionalFormatting sqref="A101">
    <cfRule type="expression" dxfId="43" priority="44" stopIfTrue="1">
      <formula>OR($AH$30&gt;0,$AJ$30&gt;0)</formula>
    </cfRule>
  </conditionalFormatting>
  <conditionalFormatting sqref="D8">
    <cfRule type="expression" dxfId="42" priority="43" stopIfTrue="1">
      <formula>$AJ$8&gt;0</formula>
    </cfRule>
  </conditionalFormatting>
  <conditionalFormatting sqref="D9">
    <cfRule type="expression" dxfId="41" priority="42" stopIfTrue="1">
      <formula>$AJ$9&gt;0</formula>
    </cfRule>
  </conditionalFormatting>
  <conditionalFormatting sqref="D10">
    <cfRule type="expression" dxfId="40" priority="41" stopIfTrue="1">
      <formula>$AJ$10&gt;0</formula>
    </cfRule>
  </conditionalFormatting>
  <conditionalFormatting sqref="D11">
    <cfRule type="expression" dxfId="39" priority="40" stopIfTrue="1">
      <formula>$AJ$11&gt;0</formula>
    </cfRule>
  </conditionalFormatting>
  <conditionalFormatting sqref="D12">
    <cfRule type="expression" dxfId="38" priority="39" stopIfTrue="1">
      <formula>$AJ$32&gt;0</formula>
    </cfRule>
  </conditionalFormatting>
  <conditionalFormatting sqref="D28">
    <cfRule type="expression" dxfId="37" priority="38" stopIfTrue="1">
      <formula>$AJ$34&gt;0</formula>
    </cfRule>
  </conditionalFormatting>
  <conditionalFormatting sqref="D29">
    <cfRule type="expression" dxfId="36" priority="37" stopIfTrue="1">
      <formula>$AJ$35&gt;0</formula>
    </cfRule>
  </conditionalFormatting>
  <conditionalFormatting sqref="D30">
    <cfRule type="expression" dxfId="35" priority="36" stopIfTrue="1">
      <formula>$AJ$42&gt;0</formula>
    </cfRule>
  </conditionalFormatting>
  <conditionalFormatting sqref="D86">
    <cfRule type="expression" dxfId="34" priority="35" stopIfTrue="1">
      <formula>$AJ$15&gt;0</formula>
    </cfRule>
  </conditionalFormatting>
  <conditionalFormatting sqref="D87">
    <cfRule type="expression" dxfId="33" priority="34" stopIfTrue="1">
      <formula>$AJ$16&gt;0</formula>
    </cfRule>
  </conditionalFormatting>
  <conditionalFormatting sqref="D88">
    <cfRule type="expression" dxfId="32" priority="33" stopIfTrue="1">
      <formula>$AJ$17&gt;0</formula>
    </cfRule>
  </conditionalFormatting>
  <conditionalFormatting sqref="D89">
    <cfRule type="expression" dxfId="31" priority="32" stopIfTrue="1">
      <formula>$AJ$18&gt;0</formula>
    </cfRule>
  </conditionalFormatting>
  <conditionalFormatting sqref="D90">
    <cfRule type="expression" dxfId="30" priority="31" stopIfTrue="1">
      <formula>$AJ$19&gt;0</formula>
    </cfRule>
  </conditionalFormatting>
  <conditionalFormatting sqref="D91">
    <cfRule type="expression" dxfId="29" priority="30" stopIfTrue="1">
      <formula>$AJ$20&gt;0</formula>
    </cfRule>
  </conditionalFormatting>
  <conditionalFormatting sqref="D92">
    <cfRule type="expression" dxfId="28" priority="29" stopIfTrue="1">
      <formula>$AJ$21&gt;0</formula>
    </cfRule>
  </conditionalFormatting>
  <conditionalFormatting sqref="D93">
    <cfRule type="expression" dxfId="27" priority="28" stopIfTrue="1">
      <formula>$AJ$22&gt;0</formula>
    </cfRule>
  </conditionalFormatting>
  <conditionalFormatting sqref="D94">
    <cfRule type="expression" dxfId="26" priority="27" stopIfTrue="1">
      <formula>$AJ$23&gt;0</formula>
    </cfRule>
  </conditionalFormatting>
  <conditionalFormatting sqref="D95">
    <cfRule type="expression" dxfId="25" priority="26" stopIfTrue="1">
      <formula>$AJ$24&gt;0</formula>
    </cfRule>
  </conditionalFormatting>
  <conditionalFormatting sqref="D96">
    <cfRule type="expression" dxfId="24" priority="25" stopIfTrue="1">
      <formula>$AJ$25&gt;0</formula>
    </cfRule>
  </conditionalFormatting>
  <conditionalFormatting sqref="D97">
    <cfRule type="expression" dxfId="23" priority="24" stopIfTrue="1">
      <formula>$AJ$26&gt;0</formula>
    </cfRule>
  </conditionalFormatting>
  <conditionalFormatting sqref="D98">
    <cfRule type="expression" dxfId="22" priority="23" stopIfTrue="1">
      <formula>$AJ$27&gt;0</formula>
    </cfRule>
  </conditionalFormatting>
  <conditionalFormatting sqref="D99">
    <cfRule type="expression" dxfId="21" priority="22" stopIfTrue="1">
      <formula>$AJ$28&gt;0</formula>
    </cfRule>
  </conditionalFormatting>
  <conditionalFormatting sqref="D100">
    <cfRule type="expression" dxfId="20" priority="21" stopIfTrue="1">
      <formula>$AJ$29&gt;0</formula>
    </cfRule>
  </conditionalFormatting>
  <conditionalFormatting sqref="D101">
    <cfRule type="expression" dxfId="19" priority="20" stopIfTrue="1">
      <formula>$AJ$30&gt;0</formula>
    </cfRule>
  </conditionalFormatting>
  <conditionalFormatting sqref="D102">
    <cfRule type="expression" dxfId="18" priority="19" stopIfTrue="1">
      <formula>$AJ$32&gt;0</formula>
    </cfRule>
  </conditionalFormatting>
  <conditionalFormatting sqref="D104">
    <cfRule type="expression" dxfId="17" priority="18" stopIfTrue="1">
      <formula>$AJ$37&gt;0</formula>
    </cfRule>
  </conditionalFormatting>
  <conditionalFormatting sqref="D105">
    <cfRule type="expression" dxfId="16" priority="17" stopIfTrue="1">
      <formula>$AJ$38&gt;0</formula>
    </cfRule>
  </conditionalFormatting>
  <conditionalFormatting sqref="D106">
    <cfRule type="expression" dxfId="15" priority="16" stopIfTrue="1">
      <formula>$AJ$39&gt;0</formula>
    </cfRule>
  </conditionalFormatting>
  <conditionalFormatting sqref="D107">
    <cfRule type="expression" dxfId="14" priority="15" stopIfTrue="1">
      <formula>$AJ$40&gt;0</formula>
    </cfRule>
  </conditionalFormatting>
  <conditionalFormatting sqref="D108">
    <cfRule type="expression" dxfId="13" priority="14" stopIfTrue="1">
      <formula>$AJ$41&gt;0</formula>
    </cfRule>
  </conditionalFormatting>
  <conditionalFormatting sqref="D109">
    <cfRule type="expression" dxfId="12" priority="13" stopIfTrue="1">
      <formula>$AJ$42&gt;0</formula>
    </cfRule>
  </conditionalFormatting>
  <conditionalFormatting sqref="D111">
    <cfRule type="expression" dxfId="11" priority="12" stopIfTrue="1">
      <formula>$AJ$45&gt;0</formula>
    </cfRule>
  </conditionalFormatting>
  <conditionalFormatting sqref="D112">
    <cfRule type="expression" dxfId="10" priority="11" stopIfTrue="1">
      <formula>$AJ$46&gt;0</formula>
    </cfRule>
  </conditionalFormatting>
  <conditionalFormatting sqref="D113">
    <cfRule type="expression" dxfId="9" priority="10" stopIfTrue="1">
      <formula>$AJ$47&gt;0</formula>
    </cfRule>
  </conditionalFormatting>
  <conditionalFormatting sqref="D114">
    <cfRule type="expression" dxfId="8" priority="9" stopIfTrue="1">
      <formula>$AJ$48&gt;0</formula>
    </cfRule>
  </conditionalFormatting>
  <conditionalFormatting sqref="D115">
    <cfRule type="expression" dxfId="7" priority="8" stopIfTrue="1">
      <formula>$AJ$49&gt;0</formula>
    </cfRule>
  </conditionalFormatting>
  <conditionalFormatting sqref="D116">
    <cfRule type="expression" dxfId="6" priority="7" stopIfTrue="1">
      <formula>$AJ$50&gt;0</formula>
    </cfRule>
  </conditionalFormatting>
  <conditionalFormatting sqref="D117">
    <cfRule type="expression" dxfId="5" priority="6" stopIfTrue="1">
      <formula>$AJ$51&gt;0</formula>
    </cfRule>
  </conditionalFormatting>
  <conditionalFormatting sqref="D118">
    <cfRule type="expression" dxfId="4" priority="5" stopIfTrue="1">
      <formula>$AJ$52&gt;0</formula>
    </cfRule>
  </conditionalFormatting>
  <conditionalFormatting sqref="D119">
    <cfRule type="expression" dxfId="3" priority="4" stopIfTrue="1">
      <formula>$AJ$53&gt;0</formula>
    </cfRule>
  </conditionalFormatting>
  <conditionalFormatting sqref="D120">
    <cfRule type="expression" dxfId="2" priority="3" stopIfTrue="1">
      <formula>$AJ$54&gt;0</formula>
    </cfRule>
  </conditionalFormatting>
  <conditionalFormatting sqref="D51">
    <cfRule type="expression" dxfId="1" priority="2" stopIfTrue="1">
      <formula>$AJ$54&gt;0</formula>
    </cfRule>
  </conditionalFormatting>
  <conditionalFormatting sqref="D24:D25">
    <cfRule type="expression" dxfId="0" priority="1" stopIfTrue="1">
      <formula>$AJ$31&gt;0</formula>
    </cfRule>
  </conditionalFormatting>
  <printOptions horizontalCentered="1" verticalCentered="1"/>
  <pageMargins left="0.5" right="0.5" top="0.5" bottom="0.5" header="0" footer="0"/>
  <pageSetup scale="65" fitToHeight="0" orientation="portrait" blackAndWhite="1" horizontalDpi="300" verticalDpi="300" r:id="rId1"/>
  <headerFooter alignWithMargins="0"/>
  <rowBreaks count="1" manualBreakCount="1">
    <brk id="120" max="13" man="1"/>
  </rowBreaks>
  <ignoredErrors>
    <ignoredError sqref="N180 N177 N174 N171 N168 N165 N162 N159 N156 N153 N150 N147 N144 N141 N138 N135 N132 N129 N126 N82 J12:J13 K78:K81 K84 Q60:Q61" formula="1"/>
    <ignoredError sqref="O105 O107:O10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164869-b588-4598-a7fe-eea488e3b51e" xsi:nil="true"/>
    <lcf76f155ced4ddcb4097134ff3c332f xmlns="19328cd7-f3ee-4a59-97f9-c8a478324b7a">
      <Terms xmlns="http://schemas.microsoft.com/office/infopath/2007/PartnerControls"/>
    </lcf76f155ced4ddcb4097134ff3c332f>
    <WebUpdated xmlns="19328cd7-f3ee-4a59-97f9-c8a478324b7a">true</WebUpd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E237812BC7BA46BC0EDBCDC549EF58" ma:contentTypeVersion="12" ma:contentTypeDescription="Create a new document." ma:contentTypeScope="" ma:versionID="c7b84d6b69e4e5f6721ab6c6f9256be6">
  <xsd:schema xmlns:xsd="http://www.w3.org/2001/XMLSchema" xmlns:xs="http://www.w3.org/2001/XMLSchema" xmlns:p="http://schemas.microsoft.com/office/2006/metadata/properties" xmlns:ns2="19328cd7-f3ee-4a59-97f9-c8a478324b7a" xmlns:ns3="63164869-b588-4598-a7fe-eea488e3b51e" targetNamespace="http://schemas.microsoft.com/office/2006/metadata/properties" ma:root="true" ma:fieldsID="1aaf3b9ee57cdde567dbe969f0b1aaed" ns2:_="" ns3:_="">
    <xsd:import namespace="19328cd7-f3ee-4a59-97f9-c8a478324b7a"/>
    <xsd:import namespace="63164869-b588-4598-a7fe-eea488e3b5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Web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28cd7-f3ee-4a59-97f9-c8a478324b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a50b8f0-3605-42cf-830e-16465b6cf60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WebUpdated" ma:index="19" nillable="true" ma:displayName="Actively Used" ma:default="1" ma:format="Dropdown" ma:internalName="WebUpd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3164869-b588-4598-a7fe-eea488e3b51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7ea865-3f94-49db-9baa-fa57ad9ec1a8}" ma:internalName="TaxCatchAll" ma:showField="CatchAllData" ma:web="63164869-b588-4598-a7fe-eea488e3b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9764B2-AF54-4B71-AE48-DF953F445117}"/>
</file>

<file path=customXml/itemProps2.xml><?xml version="1.0" encoding="utf-8"?>
<ds:datastoreItem xmlns:ds="http://schemas.openxmlformats.org/officeDocument/2006/customXml" ds:itemID="{E3E51C6C-ADC8-40F8-8C51-B887479765D1}"/>
</file>

<file path=customXml/itemProps3.xml><?xml version="1.0" encoding="utf-8"?>
<ds:datastoreItem xmlns:ds="http://schemas.openxmlformats.org/officeDocument/2006/customXml" ds:itemID="{F176BD55-E22A-4298-A40E-AFEB153D2ABA}"/>
</file>

<file path=docProps/app.xml><?xml version="1.0" encoding="utf-8"?>
<Properties xmlns="http://schemas.openxmlformats.org/officeDocument/2006/extended-properties" xmlns:vt="http://schemas.openxmlformats.org/officeDocument/2006/docPropsVTypes">
  <Application>Microsoft Excel Online</Application>
  <Manager/>
  <Company>University of Maine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Cliff Wilbur</dc:creator>
  <cp:keywords/>
  <dc:description/>
  <cp:lastModifiedBy>Addie R Bugbee</cp:lastModifiedBy>
  <cp:revision/>
  <dcterms:created xsi:type="dcterms:W3CDTF">1999-10-13T12:09:23Z</dcterms:created>
  <dcterms:modified xsi:type="dcterms:W3CDTF">2025-01-31T18:39:35Z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0x01010063E237812BC7BA46BC0EDBCDC549EF58</vt:lpwstr>
  </property>
  <property fmtid="{D5CDD505-2E9C-101B-9397-08002B2CF9AE}" pid="3" name="MediaServiceImageTags">
    <vt:lpwstr/>
  </property>
</Properties>
</file>